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Fichier-hctm2.ctmatinik.mq\partages\DFE\PAA\DOCUMENTS EN COURS D'INSTRUCTION\KETTY GERARD\LISTES BENEFICIAIRES\2019\"/>
    </mc:Choice>
  </mc:AlternateContent>
  <workbookProtection workbookAlgorithmName="SHA-512" workbookHashValue="uOBnqy03RZZ+5yQ86J+ojTLZQy71+iYJCsEFI6Zr7h3waXW9F3YLCiawsccHHiH2DqNwcLKEkYtR6vdiwfAfWw==" workbookSaltValue="Wu2W733XnTqh+SlUMQ7cqQ==" workbookSpinCount="100000" lockStructure="1"/>
  <bookViews>
    <workbookView xWindow="0" yWindow="0" windowWidth="15330" windowHeight="7590" tabRatio="605" firstSheet="1" activeTab="1"/>
  </bookViews>
  <sheets>
    <sheet name="FEAMP" sheetId="10" state="hidden" r:id="rId1"/>
    <sheet name="FEAMP 25072019" sheetId="14" r:id="rId2"/>
    <sheet name="Feuil1" sheetId="7" r:id="rId3"/>
    <sheet name="FEADER  (4)" sheetId="13" state="hidden" r:id="rId4"/>
    <sheet name="FEADER  (2)" sheetId="11" state="hidden" r:id="rId5"/>
    <sheet name="FEADER  (3)" sheetId="12" state="hidden" r:id="rId6"/>
  </sheets>
  <externalReferences>
    <externalReference r:id="rId7"/>
  </externalReferences>
  <definedNames>
    <definedName name="_xlnm._FilterDatabase" localSheetId="4" hidden="1">'FEADER  (2)'!$A$10:$V$48</definedName>
    <definedName name="_xlnm._FilterDatabase" localSheetId="5" hidden="1">'FEADER  (3)'!$A$12:$V$19</definedName>
    <definedName name="_xlnm._FilterDatabase" localSheetId="3" hidden="1">'FEADER  (4)'!$A$10:$V$181</definedName>
    <definedName name="_xlnm._FilterDatabase" localSheetId="0" hidden="1">FEAMP!$A$10:$W$86</definedName>
    <definedName name="_xlnm._FilterDatabase" localSheetId="1" hidden="1">'FEAMP 25072019'!$L$11:$S$101</definedName>
  </definedNames>
  <calcPr calcId="162913"/>
  <customWorkbookViews>
    <customWorkbookView name="VARSOVIE Mirella - Affichage personnalisé" guid="{FA6CA1E5-2E09-45A9-B5DC-F7D015D5AB92}" mergeInterval="0" personalView="1" maximized="1" xWindow="-8" yWindow="-8" windowWidth="1936" windowHeight="1056" activeSheetId="3"/>
    <customWorkbookView name="SOUDES Vanessa - Affichage personnalisé" guid="{3289770E-073F-440B-AA84-88D129018C71}" mergeInterval="0" personalView="1" maximized="1" xWindow="-8" yWindow="-8" windowWidth="1382" windowHeight="784" activeSheetId="3"/>
    <customWorkbookView name="Teddy GABIN - Affichage personnalisé" guid="{F01A8361-5CEA-480D-A064-083D86655D79}" mergeInterval="0" personalView="1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4" l="1"/>
  <c r="M85" i="14" l="1"/>
  <c r="H85" i="14" s="1"/>
  <c r="H12" i="14" l="1"/>
  <c r="M87" i="14"/>
  <c r="M88" i="14"/>
  <c r="M89" i="14"/>
  <c r="M90" i="14"/>
  <c r="M91" i="14"/>
  <c r="M92" i="14"/>
  <c r="H88" i="14" l="1"/>
  <c r="H87" i="14"/>
  <c r="H90" i="14"/>
  <c r="H92" i="14"/>
  <c r="H91" i="14"/>
  <c r="H89" i="14"/>
  <c r="M19" i="14"/>
  <c r="H19" i="14" l="1"/>
  <c r="M99" i="14" l="1"/>
  <c r="H99" i="14" s="1"/>
  <c r="M98" i="14"/>
  <c r="M97" i="14"/>
  <c r="M96" i="14"/>
  <c r="M95" i="14"/>
  <c r="M94" i="14"/>
  <c r="M93" i="14"/>
  <c r="M21" i="14"/>
  <c r="H96" i="14" l="1"/>
  <c r="H94" i="14"/>
  <c r="H97" i="14"/>
  <c r="H21" i="14"/>
  <c r="H98" i="14"/>
  <c r="H93" i="14"/>
  <c r="H95" i="14"/>
  <c r="M86" i="14" l="1"/>
  <c r="M84" i="14"/>
  <c r="M83" i="14"/>
  <c r="H83" i="14" l="1"/>
  <c r="H84" i="14"/>
  <c r="H86" i="14"/>
  <c r="S80" i="14"/>
  <c r="R80" i="14"/>
  <c r="Q80" i="14"/>
  <c r="P80" i="14"/>
  <c r="O80" i="14"/>
  <c r="N80" i="14"/>
  <c r="I80" i="14"/>
  <c r="M80" i="14"/>
  <c r="H80" i="14" s="1"/>
  <c r="M101" i="14" l="1"/>
  <c r="M100" i="14"/>
  <c r="H100" i="14" s="1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H24" i="14" s="1"/>
  <c r="M23" i="14"/>
  <c r="H23" i="14" s="1"/>
  <c r="M22" i="14"/>
  <c r="H22" i="14" s="1"/>
  <c r="M20" i="14"/>
  <c r="H20" i="14" s="1"/>
  <c r="M18" i="14"/>
  <c r="M17" i="14"/>
  <c r="H17" i="14" s="1"/>
  <c r="M16" i="14"/>
  <c r="H16" i="14" s="1"/>
  <c r="M15" i="14"/>
  <c r="H15" i="14" s="1"/>
  <c r="M14" i="14"/>
  <c r="M13" i="14"/>
  <c r="H13" i="14" s="1"/>
  <c r="H37" i="14" l="1"/>
  <c r="H49" i="14"/>
  <c r="H65" i="14"/>
  <c r="H73" i="14"/>
  <c r="H101" i="14"/>
  <c r="H26" i="14"/>
  <c r="H30" i="14"/>
  <c r="H34" i="14"/>
  <c r="H38" i="14"/>
  <c r="H42" i="14"/>
  <c r="H46" i="14"/>
  <c r="H50" i="14"/>
  <c r="H54" i="14"/>
  <c r="H58" i="14"/>
  <c r="H62" i="14"/>
  <c r="H66" i="14"/>
  <c r="H70" i="14"/>
  <c r="H74" i="14"/>
  <c r="H78" i="14"/>
  <c r="H25" i="14"/>
  <c r="H33" i="14"/>
  <c r="H45" i="14"/>
  <c r="H57" i="14"/>
  <c r="H61" i="14"/>
  <c r="H77" i="14"/>
  <c r="H27" i="14"/>
  <c r="H31" i="14"/>
  <c r="H35" i="14"/>
  <c r="H39" i="14"/>
  <c r="H43" i="14"/>
  <c r="H47" i="14"/>
  <c r="H51" i="14"/>
  <c r="H55" i="14"/>
  <c r="H59" i="14"/>
  <c r="H63" i="14"/>
  <c r="H67" i="14"/>
  <c r="H71" i="14"/>
  <c r="H75" i="14"/>
  <c r="H79" i="14"/>
  <c r="H29" i="14"/>
  <c r="H41" i="14"/>
  <c r="H53" i="14"/>
  <c r="H69" i="14"/>
  <c r="H14" i="14"/>
  <c r="H18" i="14"/>
  <c r="H28" i="14"/>
  <c r="H32" i="14"/>
  <c r="H36" i="14"/>
  <c r="H40" i="14"/>
  <c r="H44" i="14"/>
  <c r="H48" i="14"/>
  <c r="H52" i="14"/>
  <c r="H56" i="14"/>
  <c r="H60" i="14"/>
  <c r="H64" i="14"/>
  <c r="H68" i="14"/>
  <c r="H72" i="14"/>
  <c r="H76" i="14"/>
  <c r="P83" i="10" l="1"/>
  <c r="P19" i="10"/>
  <c r="G14" i="10"/>
  <c r="M13" i="10"/>
  <c r="M15" i="10"/>
  <c r="M19" i="10"/>
  <c r="F24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M83" i="10"/>
  <c r="M25" i="10"/>
  <c r="M23" i="10"/>
  <c r="M21" i="10"/>
  <c r="F20" i="10"/>
  <c r="F17" i="10"/>
  <c r="G17" i="10" s="1"/>
  <c r="F18" i="10"/>
  <c r="G18" i="10" s="1"/>
  <c r="F16" i="10"/>
  <c r="G16" i="10" s="1"/>
  <c r="E15" i="10"/>
  <c r="F14" i="10"/>
  <c r="N19" i="10" l="1"/>
  <c r="L19" i="10"/>
  <c r="K19" i="10"/>
  <c r="J19" i="10"/>
  <c r="I19" i="10"/>
  <c r="H19" i="10"/>
  <c r="E19" i="10"/>
  <c r="M86" i="10"/>
  <c r="M88" i="10" s="1"/>
  <c r="F19" i="10"/>
  <c r="F11" i="10"/>
  <c r="G19" i="10" l="1"/>
  <c r="N83" i="10"/>
  <c r="L83" i="10"/>
  <c r="K83" i="10"/>
  <c r="J83" i="10"/>
  <c r="I83" i="10"/>
  <c r="H83" i="10"/>
  <c r="G78" i="10"/>
  <c r="G79" i="10"/>
  <c r="G80" i="10"/>
  <c r="G81" i="10"/>
  <c r="G82" i="10"/>
  <c r="N19" i="12" l="1"/>
  <c r="M19" i="12"/>
  <c r="L19" i="12"/>
  <c r="K19" i="12"/>
  <c r="J19" i="12"/>
  <c r="I19" i="12"/>
  <c r="H19" i="12"/>
  <c r="E19" i="12"/>
  <c r="G18" i="12"/>
  <c r="F17" i="12"/>
  <c r="G17" i="12" s="1"/>
  <c r="F16" i="12"/>
  <c r="G16" i="12" s="1"/>
  <c r="F15" i="12"/>
  <c r="G15" i="12" s="1"/>
  <c r="F14" i="12"/>
  <c r="G14" i="12" s="1"/>
  <c r="H6" i="12"/>
  <c r="H50" i="11"/>
  <c r="O48" i="11"/>
  <c r="O50" i="11" s="1"/>
  <c r="M48" i="11"/>
  <c r="M50" i="11" s="1"/>
  <c r="L48" i="11"/>
  <c r="L50" i="11" s="1"/>
  <c r="K48" i="11"/>
  <c r="K50" i="11" s="1"/>
  <c r="J48" i="11"/>
  <c r="J50" i="11" s="1"/>
  <c r="I48" i="11"/>
  <c r="I50" i="11" s="1"/>
  <c r="H48" i="11"/>
  <c r="G48" i="11" s="1"/>
  <c r="F48" i="11"/>
  <c r="F50" i="11" s="1"/>
  <c r="G47" i="11"/>
  <c r="F46" i="11"/>
  <c r="G46" i="11" s="1"/>
  <c r="F45" i="11"/>
  <c r="G45" i="11" s="1"/>
  <c r="F44" i="11"/>
  <c r="G44" i="11" s="1"/>
  <c r="F43" i="11"/>
  <c r="G43" i="11" s="1"/>
  <c r="F42" i="11"/>
  <c r="G42" i="11" s="1"/>
  <c r="F41" i="11"/>
  <c r="G41" i="11" s="1"/>
  <c r="F40" i="11"/>
  <c r="G40" i="11" s="1"/>
  <c r="F39" i="11"/>
  <c r="G39" i="11" s="1"/>
  <c r="F38" i="11"/>
  <c r="G38" i="11" s="1"/>
  <c r="F37" i="11"/>
  <c r="G37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F30" i="11"/>
  <c r="G30" i="11" s="1"/>
  <c r="F29" i="11"/>
  <c r="G29" i="11" s="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87" i="13"/>
  <c r="G187" i="13" s="1"/>
  <c r="F186" i="13"/>
  <c r="G186" i="13" s="1"/>
  <c r="F185" i="13"/>
  <c r="G185" i="13" s="1"/>
  <c r="F182" i="13"/>
  <c r="G182" i="13" s="1"/>
  <c r="O181" i="13"/>
  <c r="M181" i="13"/>
  <c r="L181" i="13"/>
  <c r="J181" i="13"/>
  <c r="I181" i="13"/>
  <c r="H181" i="13"/>
  <c r="F180" i="13"/>
  <c r="G180" i="13" s="1"/>
  <c r="F178" i="13"/>
  <c r="F177" i="13"/>
  <c r="O174" i="13"/>
  <c r="M174" i="13"/>
  <c r="L174" i="13"/>
  <c r="K174" i="13"/>
  <c r="K175" i="13" s="1"/>
  <c r="J174" i="13"/>
  <c r="I174" i="13"/>
  <c r="H174" i="13"/>
  <c r="F173" i="13"/>
  <c r="G173" i="13" s="1"/>
  <c r="G172" i="13"/>
  <c r="F172" i="13"/>
  <c r="G171" i="13"/>
  <c r="F171" i="13"/>
  <c r="G170" i="13"/>
  <c r="F170" i="13"/>
  <c r="G169" i="13"/>
  <c r="F169" i="13"/>
  <c r="F174" i="13" s="1"/>
  <c r="O166" i="13"/>
  <c r="O190" i="13" s="1"/>
  <c r="L166" i="13"/>
  <c r="L190" i="13" s="1"/>
  <c r="K166" i="13"/>
  <c r="I166" i="13"/>
  <c r="F165" i="13"/>
  <c r="G165" i="13" s="1"/>
  <c r="F164" i="13"/>
  <c r="G164" i="13" s="1"/>
  <c r="F163" i="13"/>
  <c r="G163" i="13" s="1"/>
  <c r="F162" i="13"/>
  <c r="G162" i="13" s="1"/>
  <c r="F161" i="13"/>
  <c r="G161" i="13" s="1"/>
  <c r="G160" i="13"/>
  <c r="F159" i="13"/>
  <c r="G159" i="13" s="1"/>
  <c r="G158" i="13"/>
  <c r="F158" i="13"/>
  <c r="G157" i="13"/>
  <c r="F157" i="13"/>
  <c r="G156" i="13"/>
  <c r="F156" i="13"/>
  <c r="G155" i="13"/>
  <c r="F154" i="13"/>
  <c r="G154" i="13" s="1"/>
  <c r="F153" i="13"/>
  <c r="G153" i="13" s="1"/>
  <c r="F152" i="13"/>
  <c r="G152" i="13" s="1"/>
  <c r="F151" i="13"/>
  <c r="G151" i="13" s="1"/>
  <c r="F150" i="13"/>
  <c r="G150" i="13" s="1"/>
  <c r="G149" i="13"/>
  <c r="F148" i="13"/>
  <c r="G148" i="13" s="1"/>
  <c r="F147" i="13"/>
  <c r="G147" i="13" s="1"/>
  <c r="F146" i="13"/>
  <c r="G146" i="13" s="1"/>
  <c r="F145" i="13"/>
  <c r="G145" i="13" s="1"/>
  <c r="F144" i="13"/>
  <c r="G144" i="13" s="1"/>
  <c r="F143" i="13"/>
  <c r="F142" i="13"/>
  <c r="G142" i="13" s="1"/>
  <c r="F141" i="13"/>
  <c r="G141" i="13" s="1"/>
  <c r="F140" i="13"/>
  <c r="F139" i="13"/>
  <c r="F138" i="13"/>
  <c r="F137" i="13"/>
  <c r="G137" i="13" s="1"/>
  <c r="F136" i="13"/>
  <c r="G136" i="13" s="1"/>
  <c r="F135" i="13"/>
  <c r="G135" i="13" s="1"/>
  <c r="F134" i="13"/>
  <c r="G134" i="13" s="1"/>
  <c r="F133" i="13"/>
  <c r="G133" i="13" s="1"/>
  <c r="F132" i="13"/>
  <c r="G132" i="13" s="1"/>
  <c r="F131" i="13"/>
  <c r="G131" i="13" s="1"/>
  <c r="F130" i="13"/>
  <c r="G130" i="13" s="1"/>
  <c r="G129" i="13"/>
  <c r="F128" i="13"/>
  <c r="G128" i="13" s="1"/>
  <c r="F127" i="13"/>
  <c r="G127" i="13" s="1"/>
  <c r="F126" i="13"/>
  <c r="G126" i="13" s="1"/>
  <c r="F125" i="13"/>
  <c r="G125" i="13" s="1"/>
  <c r="F124" i="13"/>
  <c r="G124" i="13" s="1"/>
  <c r="F123" i="13"/>
  <c r="G123" i="13" s="1"/>
  <c r="F122" i="13"/>
  <c r="G122" i="13" s="1"/>
  <c r="F116" i="13"/>
  <c r="G116" i="13" s="1"/>
  <c r="F115" i="13"/>
  <c r="G115" i="13" s="1"/>
  <c r="F114" i="13"/>
  <c r="G114" i="13" s="1"/>
  <c r="F113" i="13"/>
  <c r="G113" i="13" s="1"/>
  <c r="F112" i="13"/>
  <c r="G112" i="13" s="1"/>
  <c r="F111" i="13"/>
  <c r="G111" i="13" s="1"/>
  <c r="F110" i="13"/>
  <c r="G110" i="13" s="1"/>
  <c r="F109" i="13"/>
  <c r="G109" i="13" s="1"/>
  <c r="F108" i="13"/>
  <c r="G108" i="13" s="1"/>
  <c r="F107" i="13"/>
  <c r="G107" i="13" s="1"/>
  <c r="F106" i="13"/>
  <c r="G106" i="13" s="1"/>
  <c r="F105" i="13"/>
  <c r="G105" i="13" s="1"/>
  <c r="F104" i="13"/>
  <c r="G104" i="13" s="1"/>
  <c r="F103" i="13"/>
  <c r="G103" i="13" s="1"/>
  <c r="F102" i="13"/>
  <c r="G102" i="13" s="1"/>
  <c r="F101" i="13"/>
  <c r="G101" i="13" s="1"/>
  <c r="F100" i="13"/>
  <c r="G100" i="13" s="1"/>
  <c r="F99" i="13"/>
  <c r="G99" i="13" s="1"/>
  <c r="F98" i="13"/>
  <c r="G98" i="13" s="1"/>
  <c r="F97" i="13"/>
  <c r="G97" i="13" s="1"/>
  <c r="F96" i="13"/>
  <c r="G96" i="13" s="1"/>
  <c r="F95" i="13"/>
  <c r="G95" i="13" s="1"/>
  <c r="F94" i="13"/>
  <c r="G94" i="13" s="1"/>
  <c r="F93" i="13"/>
  <c r="G93" i="13" s="1"/>
  <c r="F92" i="13"/>
  <c r="G92" i="13" s="1"/>
  <c r="F91" i="13"/>
  <c r="G91" i="13" s="1"/>
  <c r="F90" i="13"/>
  <c r="G90" i="13" s="1"/>
  <c r="F89" i="13"/>
  <c r="G89" i="13" s="1"/>
  <c r="F88" i="13"/>
  <c r="G88" i="13" s="1"/>
  <c r="F87" i="13"/>
  <c r="G87" i="13" s="1"/>
  <c r="F86" i="13"/>
  <c r="G86" i="13" s="1"/>
  <c r="F85" i="13"/>
  <c r="G85" i="13" s="1"/>
  <c r="F84" i="13"/>
  <c r="G84" i="13" s="1"/>
  <c r="F83" i="13"/>
  <c r="G83" i="13" s="1"/>
  <c r="F82" i="13"/>
  <c r="G82" i="13" s="1"/>
  <c r="F81" i="13"/>
  <c r="G81" i="13" s="1"/>
  <c r="F80" i="13"/>
  <c r="G80" i="13" s="1"/>
  <c r="F79" i="13"/>
  <c r="G79" i="13" s="1"/>
  <c r="F78" i="13"/>
  <c r="G78" i="13" s="1"/>
  <c r="F77" i="13"/>
  <c r="G77" i="13" s="1"/>
  <c r="F76" i="13"/>
  <c r="G76" i="13" s="1"/>
  <c r="F75" i="13"/>
  <c r="G75" i="13" s="1"/>
  <c r="F74" i="13"/>
  <c r="G74" i="13" s="1"/>
  <c r="F73" i="13"/>
  <c r="G73" i="13" s="1"/>
  <c r="F72" i="13"/>
  <c r="G72" i="13" s="1"/>
  <c r="F71" i="13"/>
  <c r="G71" i="13" s="1"/>
  <c r="F70" i="13"/>
  <c r="G70" i="13" s="1"/>
  <c r="F69" i="13"/>
  <c r="G69" i="13" s="1"/>
  <c r="F68" i="13"/>
  <c r="G68" i="13" s="1"/>
  <c r="F67" i="13"/>
  <c r="G67" i="13" s="1"/>
  <c r="F66" i="13"/>
  <c r="G66" i="13" s="1"/>
  <c r="F65" i="13"/>
  <c r="G65" i="13" s="1"/>
  <c r="F64" i="13"/>
  <c r="G64" i="13" s="1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J31" i="13"/>
  <c r="H31" i="13"/>
  <c r="G31" i="13" s="1"/>
  <c r="J30" i="13"/>
  <c r="H30" i="13"/>
  <c r="J29" i="13"/>
  <c r="H29" i="13"/>
  <c r="G29" i="13"/>
  <c r="J28" i="13"/>
  <c r="H28" i="13"/>
  <c r="G28" i="13" s="1"/>
  <c r="J27" i="13"/>
  <c r="H27" i="13"/>
  <c r="G27" i="13" s="1"/>
  <c r="J26" i="13"/>
  <c r="H26" i="13"/>
  <c r="M25" i="13"/>
  <c r="J25" i="13"/>
  <c r="H25" i="13"/>
  <c r="G25" i="13" s="1"/>
  <c r="M24" i="13"/>
  <c r="J24" i="13"/>
  <c r="H24" i="13"/>
  <c r="M23" i="13"/>
  <c r="J23" i="13"/>
  <c r="H23" i="13"/>
  <c r="G23" i="13" s="1"/>
  <c r="M22" i="13"/>
  <c r="J22" i="13"/>
  <c r="H22" i="13"/>
  <c r="G21" i="13"/>
  <c r="M20" i="13"/>
  <c r="J20" i="13"/>
  <c r="H20" i="13"/>
  <c r="G20" i="13"/>
  <c r="F19" i="13"/>
  <c r="M19" i="13" s="1"/>
  <c r="J18" i="13"/>
  <c r="H18" i="13"/>
  <c r="G18" i="13" s="1"/>
  <c r="M17" i="13"/>
  <c r="J17" i="13"/>
  <c r="H17" i="13"/>
  <c r="G17" i="13" s="1"/>
  <c r="M16" i="13"/>
  <c r="J16" i="13"/>
  <c r="H16" i="13"/>
  <c r="G16" i="13" s="1"/>
  <c r="M15" i="13"/>
  <c r="J15" i="13"/>
  <c r="H15" i="13"/>
  <c r="G15" i="13" s="1"/>
  <c r="M14" i="13"/>
  <c r="J14" i="13"/>
  <c r="H14" i="13"/>
  <c r="G14" i="13" s="1"/>
  <c r="M13" i="13"/>
  <c r="H13" i="13"/>
  <c r="J13" i="13" s="1"/>
  <c r="M12" i="13"/>
  <c r="J12" i="13"/>
  <c r="H12" i="13"/>
  <c r="G12" i="13" s="1"/>
  <c r="M11" i="13"/>
  <c r="J11" i="13"/>
  <c r="H11" i="13"/>
  <c r="G11" i="13" s="1"/>
  <c r="P86" i="10"/>
  <c r="N86" i="10"/>
  <c r="L86" i="10"/>
  <c r="K86" i="10"/>
  <c r="J86" i="10"/>
  <c r="I86" i="10"/>
  <c r="H86" i="10"/>
  <c r="E86" i="10"/>
  <c r="F85" i="10"/>
  <c r="G85" i="10" s="1"/>
  <c r="F84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P25" i="10"/>
  <c r="N25" i="10"/>
  <c r="L25" i="10"/>
  <c r="K25" i="10"/>
  <c r="J25" i="10"/>
  <c r="I25" i="10"/>
  <c r="H25" i="10"/>
  <c r="E25" i="10"/>
  <c r="G24" i="10"/>
  <c r="P23" i="10"/>
  <c r="N23" i="10"/>
  <c r="L23" i="10"/>
  <c r="K23" i="10"/>
  <c r="J23" i="10"/>
  <c r="I23" i="10"/>
  <c r="H23" i="10"/>
  <c r="E23" i="10"/>
  <c r="F22" i="10"/>
  <c r="F23" i="10" s="1"/>
  <c r="P21" i="10"/>
  <c r="N21" i="10"/>
  <c r="L21" i="10"/>
  <c r="K21" i="10"/>
  <c r="J21" i="10"/>
  <c r="I21" i="10"/>
  <c r="H21" i="10"/>
  <c r="E21" i="10"/>
  <c r="F21" i="10"/>
  <c r="P15" i="10"/>
  <c r="N15" i="10"/>
  <c r="L15" i="10"/>
  <c r="K15" i="10"/>
  <c r="J15" i="10"/>
  <c r="I15" i="10"/>
  <c r="H15" i="10"/>
  <c r="F15" i="10"/>
  <c r="P13" i="10"/>
  <c r="N13" i="10"/>
  <c r="L13" i="10"/>
  <c r="K13" i="10"/>
  <c r="J13" i="10"/>
  <c r="I13" i="10"/>
  <c r="H13" i="10"/>
  <c r="E13" i="10"/>
  <c r="F12" i="10"/>
  <c r="G12" i="10" s="1"/>
  <c r="G11" i="10"/>
  <c r="H88" i="10" l="1"/>
  <c r="H6" i="10" s="1"/>
  <c r="J88" i="10"/>
  <c r="G21" i="10"/>
  <c r="K88" i="10"/>
  <c r="G13" i="13"/>
  <c r="J19" i="13"/>
  <c r="G24" i="13"/>
  <c r="G30" i="13"/>
  <c r="L88" i="10"/>
  <c r="G15" i="10"/>
  <c r="I88" i="10"/>
  <c r="N88" i="10"/>
  <c r="J166" i="13"/>
  <c r="J190" i="13" s="1"/>
  <c r="G22" i="13"/>
  <c r="G26" i="13"/>
  <c r="F166" i="13"/>
  <c r="I190" i="13"/>
  <c r="G174" i="13"/>
  <c r="P88" i="10"/>
  <c r="K176" i="13"/>
  <c r="G50" i="11"/>
  <c r="H6" i="11"/>
  <c r="F83" i="10"/>
  <c r="M166" i="13"/>
  <c r="M190" i="13" s="1"/>
  <c r="H19" i="13"/>
  <c r="G19" i="13" s="1"/>
  <c r="F175" i="13"/>
  <c r="F19" i="12"/>
  <c r="G19" i="12" s="1"/>
  <c r="E83" i="10"/>
  <c r="E88" i="10" s="1"/>
  <c r="G26" i="10"/>
  <c r="F86" i="10"/>
  <c r="G20" i="10"/>
  <c r="G86" i="10"/>
  <c r="F25" i="10"/>
  <c r="G25" i="10" s="1"/>
  <c r="G84" i="10"/>
  <c r="F13" i="10"/>
  <c r="G13" i="10" s="1"/>
  <c r="G60" i="10"/>
  <c r="F88" i="10" l="1"/>
  <c r="G175" i="13"/>
  <c r="F176" i="13"/>
  <c r="G176" i="13" s="1"/>
  <c r="K179" i="13"/>
  <c r="H166" i="13"/>
  <c r="G88" i="10"/>
  <c r="G83" i="10"/>
  <c r="G166" i="13" l="1"/>
  <c r="H190" i="13"/>
  <c r="F179" i="13"/>
  <c r="G179" i="13" s="1"/>
  <c r="K181" i="13"/>
  <c r="F181" i="13" l="1"/>
  <c r="F190" i="13" s="1"/>
  <c r="G181" i="13"/>
  <c r="K190" i="13"/>
  <c r="G190" i="13"/>
  <c r="H6" i="13"/>
  <c r="M82" i="14"/>
  <c r="H82" i="14"/>
  <c r="M81" i="14"/>
  <c r="H81" i="14"/>
</calcChain>
</file>

<file path=xl/sharedStrings.xml><?xml version="1.0" encoding="utf-8"?>
<sst xmlns="http://schemas.openxmlformats.org/spreadsheetml/2006/main" count="2291" uniqueCount="1002">
  <si>
    <t>Mesure</t>
  </si>
  <si>
    <t xml:space="preserve">Intitulé de l'opération </t>
  </si>
  <si>
    <t>Maître d'ouvrage</t>
  </si>
  <si>
    <t xml:space="preserve">Privé/MO        </t>
  </si>
  <si>
    <t>Etat</t>
  </si>
  <si>
    <t xml:space="preserve">Autres publics </t>
  </si>
  <si>
    <t>Département</t>
  </si>
  <si>
    <t xml:space="preserve">Date de notification </t>
  </si>
  <si>
    <t xml:space="preserve">date de convention </t>
  </si>
  <si>
    <t>CTR du 19/11/2015</t>
  </si>
  <si>
    <t>CTR du 15/12/2015</t>
  </si>
  <si>
    <t>Mesure 4.01 : Investissements dans les exploitations agricoles – Type d'opération 4.1.1 : Modernisation des exploitations agricoles</t>
  </si>
  <si>
    <t>Plantation de canne à sucre 2015 (70,65 ha)</t>
  </si>
  <si>
    <t>Exploitation Plaine du Galion (EPG)</t>
  </si>
  <si>
    <t>Plantation de canne à sucre 2014 (69,55 ha)</t>
  </si>
  <si>
    <t>Exploitation Agricole du Galion (EPG)</t>
  </si>
  <si>
    <t>Plantation de cannes à sucre 25,93 ha – 2014</t>
  </si>
  <si>
    <t>SA Exploitation Agricole Montagne Pelée</t>
  </si>
  <si>
    <t>Plantation de canne à sucre 14,30 ha – 2014</t>
  </si>
  <si>
    <t>SA Exploitation Agricole Basse-Pointe</t>
  </si>
  <si>
    <t>Plantation de cannes à sucre 27,47 ha – 2015</t>
  </si>
  <si>
    <t>Plantation de cannes à sucre 29,23 ha – 2015</t>
  </si>
  <si>
    <t>Plantation de banane 0ha et de canne 16,22 ha – 2014</t>
  </si>
  <si>
    <t>SAS héritiers Crassous de Médeuil</t>
  </si>
  <si>
    <t>Plantation de canne à sucre 2014-2015 (14,24 ha)</t>
  </si>
  <si>
    <t>Rhums Martiniquais Saint-James (RMSJ)</t>
  </si>
  <si>
    <t>Plantation de canne à sucre 2015-2016 (14 ha)</t>
  </si>
  <si>
    <t>SAS Cafeiere</t>
  </si>
  <si>
    <t>Plantation de vitroplants 2015 - 17,48ha</t>
  </si>
  <si>
    <t>Plantation de vitroplants Fin 2014-Début 2015 - 16,32ha</t>
  </si>
  <si>
    <t>Plantation de vitroplants 2014 - 27,61 ha</t>
  </si>
  <si>
    <t>SARL Rivière Lézarde</t>
  </si>
  <si>
    <t>Plantation de vitroplants 2015 - 13,92ha</t>
  </si>
  <si>
    <t>Plantation de vitroplants 2014 - 14,10ha</t>
  </si>
  <si>
    <t>Sarl Habitation Bochet</t>
  </si>
  <si>
    <t xml:space="preserve">Plantations de bananes 2014 - 13,95 ha </t>
  </si>
  <si>
    <t>Sarl Exploitation Agricole Petit Morne</t>
  </si>
  <si>
    <t>Plantation de bananes 2014 - 40 ha</t>
  </si>
  <si>
    <t>Sarl Habitation Trianon</t>
  </si>
  <si>
    <t xml:space="preserve">Plantation de bananes 2014 - 8,71 ha </t>
  </si>
  <si>
    <t>SA Le Lareinty</t>
  </si>
  <si>
    <t>Plantation canne à sucre 2014 - 67,46 ha</t>
  </si>
  <si>
    <t>SAS Société Martiniquaise des Plantations Saint-James</t>
  </si>
  <si>
    <t>Plantation Replantation 2015 – 2016  - 52,68ha</t>
  </si>
  <si>
    <t>Plantation banane et canne 2014-2015 - 2,56ha (Banane) + 33,59ha (canne)</t>
  </si>
  <si>
    <t>Volet général</t>
  </si>
  <si>
    <t xml:space="preserve">FEADER </t>
  </si>
  <si>
    <t>Plantation et Replantation Cannes à Sucre – Programme DASL 2014 -29,54 ha</t>
  </si>
  <si>
    <t>SAS Distillerie Agricole STE-LUCE</t>
  </si>
  <si>
    <t>SARL Plantation Saint-Etienne</t>
  </si>
  <si>
    <t>CPS du 04/12/2015</t>
  </si>
  <si>
    <t>% aides publiques                     (hors MO)</t>
  </si>
  <si>
    <t xml:space="preserve">Volet de la transition 2014 </t>
  </si>
  <si>
    <t>FEADER programmé :</t>
  </si>
  <si>
    <t>TOTAL FEADER programmé</t>
  </si>
  <si>
    <t>Notification du 07/12/2015</t>
  </si>
  <si>
    <t>Notification du 06/12/2015</t>
  </si>
  <si>
    <t>Notification du 28/12/2015</t>
  </si>
  <si>
    <t>CTR du 25/02/2016</t>
  </si>
  <si>
    <t>CPS du 29/02/2016</t>
  </si>
  <si>
    <t>Notification du 29/02/2016</t>
  </si>
  <si>
    <t>6.1.1 Dotation Jeunes Agriculteurs</t>
  </si>
  <si>
    <t>Aide au démarage d'entreprise pour les jeunes agriculteurs</t>
  </si>
  <si>
    <t>LABEAU Fabrice</t>
  </si>
  <si>
    <t>GONZALVE Claudia Odile</t>
  </si>
  <si>
    <t>LOUISIN Jonathan</t>
  </si>
  <si>
    <t>Sous total 6.1.1</t>
  </si>
  <si>
    <t>CTR du 17/03/2016</t>
  </si>
  <si>
    <t>Notification du 30/03/2016</t>
  </si>
  <si>
    <t xml:space="preserve"> CPS du 30/03/2016</t>
  </si>
  <si>
    <t>321</t>
  </si>
  <si>
    <t>Plantation canne à sucre 2014-2015-62,63ha</t>
  </si>
  <si>
    <t>Société Martiniquaise de Canne à sucre (SMCS)</t>
  </si>
  <si>
    <t>323</t>
  </si>
  <si>
    <t>Plantation et replantation de canne à sucre 2014-18,27ha</t>
  </si>
  <si>
    <t>SAS Bellonie et Bourdillon successeurs</t>
  </si>
  <si>
    <t>324</t>
  </si>
  <si>
    <t>Plantation de canne à sucre 2015-25,09ha</t>
  </si>
  <si>
    <t>14</t>
  </si>
  <si>
    <t>Plantation de bananes 2015-4,42ha</t>
  </si>
  <si>
    <t>SARL Exploitation de banane du Gallion</t>
  </si>
  <si>
    <t>13</t>
  </si>
  <si>
    <t>Plantation de vitroplants bananes 2015</t>
  </si>
  <si>
    <t>SARL Exploitation de bananes du Malgre Tout</t>
  </si>
  <si>
    <t>12</t>
  </si>
  <si>
    <t>Plantation de vitroplants bananes 2014</t>
  </si>
  <si>
    <t>30</t>
  </si>
  <si>
    <t>Plantation de canne à sucre 2014-11,8ha</t>
  </si>
  <si>
    <t>EARL Domaines Thieubert</t>
  </si>
  <si>
    <t>15</t>
  </si>
  <si>
    <t>Plantation de vitroplants banane 2014-17,48ha</t>
  </si>
  <si>
    <t>66</t>
  </si>
  <si>
    <t>Plantation de vitroplants banane 2015-8,8ha</t>
  </si>
  <si>
    <t>SARL Exploitation Agricole Sud Est</t>
  </si>
  <si>
    <t>CTR du 12/04/2016</t>
  </si>
  <si>
    <t>Notification du 26/04/2016</t>
  </si>
  <si>
    <t xml:space="preserve"> CPS du 26/04/2016</t>
  </si>
  <si>
    <t>EARL DOMAINES THIEUBERT</t>
  </si>
  <si>
    <t>334</t>
  </si>
  <si>
    <t>Plantation vitroplants banane 16,99 ha et canne à sucre 10,31 - 2014</t>
  </si>
  <si>
    <t>SAS HABITATION PECOUL</t>
  </si>
  <si>
    <t>335</t>
  </si>
  <si>
    <t>Plantation vitroplants 9,13 ha - 2015</t>
  </si>
  <si>
    <t>354</t>
  </si>
  <si>
    <t>Plantation canne à sucre 4,74 ha à la Favorite - nov. Déc. 2015</t>
  </si>
  <si>
    <t>DISTILLERIE LA FAVORITE</t>
  </si>
  <si>
    <t>362</t>
  </si>
  <si>
    <t>Amélioration foncière et plantation de canne à sucre sur 13 ha</t>
  </si>
  <si>
    <t>BARBE Nicole</t>
  </si>
  <si>
    <t>365</t>
  </si>
  <si>
    <t>Amélioration foncière et désenclavement parcellaire et plantation de vitroplants banane -5,96 ha</t>
  </si>
  <si>
    <t>SARL HABITATION DUHAUMONT</t>
  </si>
  <si>
    <t>329</t>
  </si>
  <si>
    <t>Conseil Exécutif</t>
  </si>
  <si>
    <t>Assemblée Plénière</t>
  </si>
  <si>
    <t xml:space="preserve"> CPS saisine écrite du 16/12/2015</t>
  </si>
  <si>
    <t>Date avenant</t>
  </si>
  <si>
    <t>Commentaires</t>
  </si>
  <si>
    <t>Plantation canne à sucre 6,32 ha - 2014-2015</t>
  </si>
  <si>
    <t>4.2.1 Accroissement de la valeur ajoutée des produits agricoles relevant de l'annexe 1 du traité</t>
  </si>
  <si>
    <t>970007</t>
  </si>
  <si>
    <t>Sous total 4-2-1</t>
  </si>
  <si>
    <t>SARL SOCIETE D'ABATTAGE DE GRANDE ROCHELLE (SAGR)</t>
  </si>
  <si>
    <t>SARL DISTILLERIE LA FAVORITE</t>
  </si>
  <si>
    <t>Retruturation d'un abattoir de poules pondeuses et de poulets</t>
  </si>
  <si>
    <t>Acquisition d'une ligne d'embouteillage</t>
  </si>
  <si>
    <t>CTR du 10/05/2016</t>
  </si>
  <si>
    <t>CPS du 24/05/2016</t>
  </si>
  <si>
    <t>CE du 07/07/2016</t>
  </si>
  <si>
    <t>AP du 19/07/2016</t>
  </si>
  <si>
    <t>CPS du 24/06/2016</t>
  </si>
  <si>
    <t>n° OSIRIS</t>
  </si>
  <si>
    <t>RMAR040115DA0970001</t>
  </si>
  <si>
    <t>RMAR040115DA0970002</t>
  </si>
  <si>
    <t>RMAR040115DA0970003</t>
  </si>
  <si>
    <t>RMAR040115DA0970004</t>
  </si>
  <si>
    <t>RMAR040115DA0970005</t>
  </si>
  <si>
    <t>RMAR040115DA0970006</t>
  </si>
  <si>
    <t>RMAR040115DA0970007</t>
  </si>
  <si>
    <t>RMAR040115DA0970008</t>
  </si>
  <si>
    <t>RMAR040115DA0970009</t>
  </si>
  <si>
    <t>RMAR040115DA0970010</t>
  </si>
  <si>
    <t>RMAR040115DA0970011</t>
  </si>
  <si>
    <t>RMAR040115DA0970013</t>
  </si>
  <si>
    <t>RMAR040115DA0970014</t>
  </si>
  <si>
    <t>RMAR040115DA0970015</t>
  </si>
  <si>
    <t>RMAR040115DA0970022</t>
  </si>
  <si>
    <t>RMAR040115DA0970021</t>
  </si>
  <si>
    <t>RMAR040115DA0970016</t>
  </si>
  <si>
    <t>RMAR040115DA0970017</t>
  </si>
  <si>
    <t>RMAR040115DA0970018</t>
  </si>
  <si>
    <t>RMAR040115DA0970019</t>
  </si>
  <si>
    <t>RMAR040115DA0970020</t>
  </si>
  <si>
    <t>RMAR060115DA0970003</t>
  </si>
  <si>
    <t>RMAR060115DA0970004</t>
  </si>
  <si>
    <t>RMAR060115DA0970002</t>
  </si>
  <si>
    <t>CTR du 14/06/2016</t>
  </si>
  <si>
    <t>Arrêtés/Délib</t>
  </si>
  <si>
    <t>sans objet</t>
  </si>
  <si>
    <t>Notification du 07/09/2016</t>
  </si>
  <si>
    <t>CE du 08/09/2016</t>
  </si>
  <si>
    <t>ITP du 30/08/2016</t>
  </si>
  <si>
    <t>RMAR040116DA0970038</t>
  </si>
  <si>
    <t>RMAR040116DA0970001</t>
  </si>
  <si>
    <t>RMAR040116DA0970218</t>
  </si>
  <si>
    <t>RMAR040116DA0970162</t>
  </si>
  <si>
    <t>RMAR040116DA0970052</t>
  </si>
  <si>
    <t>RMAR040116DA0970131</t>
  </si>
  <si>
    <t>RMAR040116DA0970041</t>
  </si>
  <si>
    <t>RMAR060116DA0970006</t>
  </si>
  <si>
    <t>RMAR060116DA0970007</t>
  </si>
  <si>
    <t>Plantation de vitroplants bananes – 4,10 ha - 2015</t>
  </si>
  <si>
    <t>Maîtrise de l'alimentation, gestion des déchets et préservation de l'environnement</t>
  </si>
  <si>
    <t>Modernisation des outils de production dans la filière avicole</t>
  </si>
  <si>
    <t>Plantation de vitroplants bananes – 9,43 ha - 2015</t>
  </si>
  <si>
    <t>Plantation canne à sucre 2015 – 2,70 ha</t>
  </si>
  <si>
    <t>Plantation canne à sucre 2016 - 9 ha</t>
  </si>
  <si>
    <t>Plantation de vitroplants bananes 2015 - 5,5 ha</t>
  </si>
  <si>
    <t>SARL SOCOBAN</t>
  </si>
  <si>
    <t>EARL LOMBE</t>
  </si>
  <si>
    <t>SAS MARTINIQUE AVICULTURE</t>
  </si>
  <si>
    <t>SARL HABITATION BOCHET</t>
  </si>
  <si>
    <t>Mme Udelca LUCAS</t>
  </si>
  <si>
    <t>SCEA ROMANA</t>
  </si>
  <si>
    <t>SARL SOMOBAN</t>
  </si>
  <si>
    <t xml:space="preserve">Comité  Technique                                               </t>
  </si>
  <si>
    <t>Aide au démarrage d'entreprise pour les jeunes agriculteurs</t>
  </si>
  <si>
    <t>M. Nicolas ARNOLIN</t>
  </si>
  <si>
    <t>M. Landry BEAUREGARD</t>
  </si>
  <si>
    <t>RMAR040116DA0970148</t>
  </si>
  <si>
    <t>RMAR040116DA0970028</t>
  </si>
  <si>
    <t>RMAR040216DA0970040</t>
  </si>
  <si>
    <t>RMAR040116DA0970011</t>
  </si>
  <si>
    <t>RMAR040116DA0970057</t>
  </si>
  <si>
    <t>Plantation de canne à sucre - 2015 - 4,44 ha</t>
  </si>
  <si>
    <t>Plantation de vitroplants bananes et drainage - 12,26 ha - 2015</t>
  </si>
  <si>
    <t>Acquisition d'équipements agricoles en 2014 - Modernisation de l'exploitation CRASSOUS</t>
  </si>
  <si>
    <t>Acquisition de vitroplants bananes (0,47ha) et réalisation de 850 ml de traces - 2014</t>
  </si>
  <si>
    <t>Plantation de 2,88 ha de vitroplants de bananes -2014</t>
  </si>
  <si>
    <t>SARL HABITATION ASSIER</t>
  </si>
  <si>
    <t>SAS HERITIERS CRASSOUS DE MEDEUIL</t>
  </si>
  <si>
    <t>SARL HORTI-FRUITS</t>
  </si>
  <si>
    <t>SARL EXPLOITATION AGRICOLE DU MONTVERT</t>
  </si>
  <si>
    <t>AP du 04/10/2016</t>
  </si>
  <si>
    <t>ITP du 20/09/2016</t>
  </si>
  <si>
    <t>CE du 06/10/2016</t>
  </si>
  <si>
    <t>SARL Habitation Trianon</t>
  </si>
  <si>
    <t>Wiltord JANIVEL</t>
  </si>
  <si>
    <t>plantation de vitroplants bananes sur 12,18 ha – 2015</t>
  </si>
  <si>
    <t>Plantation de vergers sur 2,25 ha – 2016</t>
  </si>
  <si>
    <t>RMAR040116DA0970033</t>
  </si>
  <si>
    <t>RMAR040116DA0970172</t>
  </si>
  <si>
    <t>Plantation de vitroplants bananes sur 6,19 ha – 2014-2015</t>
  </si>
  <si>
    <t>SARL Citéfi</t>
  </si>
  <si>
    <t>RMAR040116DA0970035</t>
  </si>
  <si>
    <t>Plantation de canne à sucre – 1,97 ha – 2015</t>
  </si>
  <si>
    <t>Auguste CILPA</t>
  </si>
  <si>
    <t>Plantation de vitroplants bananes sur 6,36 ha – 2014</t>
  </si>
  <si>
    <t>EARL Habitation Gondeau</t>
  </si>
  <si>
    <t>RMAR040116DA0970078</t>
  </si>
  <si>
    <t>RMAR040116DA0970055</t>
  </si>
  <si>
    <t>Notification du 06/10/2016</t>
  </si>
  <si>
    <t>Notification du 10/10/2016</t>
  </si>
  <si>
    <t>Notification du 10/10/2017</t>
  </si>
  <si>
    <t>Notification du 10/10/2018</t>
  </si>
  <si>
    <t>Notification du 10/10/2019</t>
  </si>
  <si>
    <t>Notification du 10/10/2020</t>
  </si>
  <si>
    <t>ITP du 18/10/2016</t>
  </si>
  <si>
    <t>CE du 20/10/2016</t>
  </si>
  <si>
    <t>RMAR040116DA0970103</t>
  </si>
  <si>
    <t>Plantation de vitroplants bananes sur 19,57 ha et drainage – 2014</t>
  </si>
  <si>
    <t>SARL Habitation Assier</t>
  </si>
  <si>
    <t>RMAR040116DA0970123</t>
  </si>
  <si>
    <t>Plantation de vitroplants de bananes (11,46 ha) - 2014-2015</t>
  </si>
  <si>
    <t>SARL Union</t>
  </si>
  <si>
    <t>RMAR040116DA0970025</t>
  </si>
  <si>
    <t>Mise en place d'un bâtiment d'élevage, aménagements fonciers et clôture</t>
  </si>
  <si>
    <t>Valérie MOUTAMALLE</t>
  </si>
  <si>
    <t>RMAR040116DA0970257</t>
  </si>
  <si>
    <t>Plantation de canne à sucre sur 1 ha (2016)</t>
  </si>
  <si>
    <t>Josette HIPPOCRATE</t>
  </si>
  <si>
    <t>RMAR040116DA0970226</t>
  </si>
  <si>
    <t>Plantation de canne à sucre sur 6,52 ha et acquisition de matériel (2016)</t>
  </si>
  <si>
    <t>Willy JEAN-BAPTISTE</t>
  </si>
  <si>
    <t>RMAR040116DA0970096</t>
  </si>
  <si>
    <t>Plantation de vitroplants de bananes (0,96 ha) et investissements matériels - 2015</t>
  </si>
  <si>
    <t>Olivier MICAA</t>
  </si>
  <si>
    <t>RMAR040116DA0970027</t>
  </si>
  <si>
    <t>Plantation de vitroplants de bananes (11,15 ha) - 2014</t>
  </si>
  <si>
    <t>SARL Pirogue</t>
  </si>
  <si>
    <t>ITP du 15/11/2016</t>
  </si>
  <si>
    <t>CE du 17/11/2016</t>
  </si>
  <si>
    <t>RMAR040116DA0970240</t>
  </si>
  <si>
    <t>Installation de système de traitement des effluents BANAMART</t>
  </si>
  <si>
    <t>BANAMART</t>
  </si>
  <si>
    <t>RMAR040116DA0970201</t>
  </si>
  <si>
    <t>Plantation de vitroplants de banane 10,23ha en 2014</t>
  </si>
  <si>
    <t>SARL EDEN</t>
  </si>
  <si>
    <t>RMAR040116DA0970265</t>
  </si>
  <si>
    <t>Plantation de canne à sucre</t>
  </si>
  <si>
    <t>DELUMEAU-RAMANICH Marie-Alice</t>
  </si>
  <si>
    <t>RMAR040116DA0970074</t>
  </si>
  <si>
    <t>Aménagement de la station de conditionnement, mécanisation des surfaces enherbées</t>
  </si>
  <si>
    <t>EARL DESIRADE</t>
  </si>
  <si>
    <t>RMAR040116DA0970109</t>
  </si>
  <si>
    <t>Plantation de vergers sur 2,13 ha (2016)</t>
  </si>
  <si>
    <t>ALEXANDRE RIGOBERT</t>
  </si>
  <si>
    <t>RMAR040116DA0970227</t>
  </si>
  <si>
    <t>Plantation de canne à sucre sur 1,10 ha (2016)</t>
  </si>
  <si>
    <t>LAMAIN DOMINIQUE</t>
  </si>
  <si>
    <t>Equipement en matériels agricoles d'une exploitation en banane export (JA)</t>
  </si>
  <si>
    <t>DUPROS Louis-Bernard</t>
  </si>
  <si>
    <t>RMAR040116DA0970090</t>
  </si>
  <si>
    <t>Mécanisation de la gestion de l'enherbement en canne à sucre (2016/2017)</t>
  </si>
  <si>
    <t>RUSTIQUE Georges</t>
  </si>
  <si>
    <t>RMAR040116DA0970080</t>
  </si>
  <si>
    <t>Plantation de vitroplants banane sur 13,68 ha (2014)</t>
  </si>
  <si>
    <t>EURL SIBAN</t>
  </si>
  <si>
    <t>RMAR040116DA0970178</t>
  </si>
  <si>
    <t>Mise en place d'un bâtiment d'élevage - 2015-2016</t>
  </si>
  <si>
    <t>EARL CCE JEANVILLE</t>
  </si>
  <si>
    <t>RMAR040116DA0970043</t>
  </si>
  <si>
    <t>Mise en place d'un hangar agricole et d'une trace d'accès à l'exploitation</t>
  </si>
  <si>
    <t>EARL Milellerie MANIBA</t>
  </si>
  <si>
    <t>RMAR040116DA0970005</t>
  </si>
  <si>
    <t>Augmentation des capacités de distillation de traitement des vinasses grâce à 'acquisition d'une colonne à distiler et d'autre matériel de production</t>
  </si>
  <si>
    <t>SAS DISTILLERIE DU SIMON</t>
  </si>
  <si>
    <t>RMAR040116DA0970002</t>
  </si>
  <si>
    <t>Création  d'une nouvelle duiistillerie à la fabrication de rhums premiums</t>
  </si>
  <si>
    <t>SARL REX</t>
  </si>
  <si>
    <t>Plantation de vitroplants de bananes (3,51 ha) et aménagement - 2014</t>
  </si>
  <si>
    <t>SARL CHOISY</t>
  </si>
  <si>
    <t>CE du 29/11/2016</t>
  </si>
  <si>
    <t>RMAR040116DA0970039</t>
  </si>
  <si>
    <t>AP¨des 23 et 24/11/2016</t>
  </si>
  <si>
    <t>Notification du 07/11/2016</t>
  </si>
  <si>
    <t>AP des 15 et 16/12/2016</t>
  </si>
  <si>
    <t>Notifiacation du 8/12/2016</t>
  </si>
  <si>
    <t>Notification du 08/11/2016</t>
  </si>
  <si>
    <t>RMAR040116DA0970281</t>
  </si>
  <si>
    <t>Plantation de canne à sucre sur 0,42ha (2016)</t>
  </si>
  <si>
    <t>MOURIESSE Marie-Claude</t>
  </si>
  <si>
    <t>CTM</t>
  </si>
  <si>
    <t>ITP du 10/01/2017</t>
  </si>
  <si>
    <t>CE du 26/01/2017</t>
  </si>
  <si>
    <t>RMAR040116DA0970274</t>
  </si>
  <si>
    <t>Exploitation en apiculture, manioc et culture plein champs</t>
  </si>
  <si>
    <t>BEAUREGARD Landry</t>
  </si>
  <si>
    <t>RMAR040116DA0970276</t>
  </si>
  <si>
    <t>Acquisition matériels pour le travail du sol et l'entretien des cultures</t>
  </si>
  <si>
    <t>JEAN Thierry</t>
  </si>
  <si>
    <t>RMAR040116DA0970300</t>
  </si>
  <si>
    <t>Mise en place de cultures maraîchères sous abris</t>
  </si>
  <si>
    <t>MAUNIER Mylène</t>
  </si>
  <si>
    <t>RMAR040116DA0970289</t>
  </si>
  <si>
    <t>Investissement matériel et plantation de verger sur 0,35ha</t>
  </si>
  <si>
    <t>DAVIDAS Patrick</t>
  </si>
  <si>
    <t>RMAR040116DA0970187</t>
  </si>
  <si>
    <t>Mise en place d'un élevage caprin et cultures maraîchères de plein champs</t>
  </si>
  <si>
    <t>GONZALVE Claudia</t>
  </si>
  <si>
    <t>RMAR040116DA0970212</t>
  </si>
  <si>
    <t>Véhicule et aménagement d'une serre en productions végétales</t>
  </si>
  <si>
    <t>DUPELIN Patricia</t>
  </si>
  <si>
    <t>RMAR040116DA0970223</t>
  </si>
  <si>
    <t>Investissement d'équipement pour un élévage bovin plantation de 4 ha de canne à sucre</t>
  </si>
  <si>
    <t>VAYABOURY Nathalie</t>
  </si>
  <si>
    <t>RMAR040116DA0970127</t>
  </si>
  <si>
    <t>Matériel d'élevage faucheuse, bétaillère, balance, mini pelle (2014-2016)</t>
  </si>
  <si>
    <t>OZIER Bruno</t>
  </si>
  <si>
    <t>RMAR040116DA0970198</t>
  </si>
  <si>
    <t>Acquisition et mise en place d'un système de traitement des effluents sanitaires (2015)</t>
  </si>
  <si>
    <t>SARL PARNASSE</t>
  </si>
  <si>
    <t>RMAR040116DA0970075</t>
  </si>
  <si>
    <t>Diagnostic plan de performance energétique et aménagement hangar</t>
  </si>
  <si>
    <t>MONT EOLE EARL</t>
  </si>
  <si>
    <t>Notification du 9/01/2017</t>
  </si>
  <si>
    <t>RMAR040116DA0970063</t>
  </si>
  <si>
    <t>Achat de matériel agricole destiné au contrôle de l'enherbement</t>
  </si>
  <si>
    <t>RMAR040116DA0970169</t>
  </si>
  <si>
    <t>Achat d'un tracteur agricole pour travaux d'améliorations foncières</t>
  </si>
  <si>
    <t>CE du 19/01/2017</t>
  </si>
  <si>
    <t>Notification du 30/12/2016</t>
  </si>
  <si>
    <t>n°16-494-1</t>
  </si>
  <si>
    <t>n°16-493-1</t>
  </si>
  <si>
    <t>n° 16-760-1</t>
  </si>
  <si>
    <t>n° 16-762-1</t>
  </si>
  <si>
    <t>n°16-758-1</t>
  </si>
  <si>
    <t>n°16-753-1</t>
  </si>
  <si>
    <t>Notification du 7/02/2017</t>
  </si>
  <si>
    <t>n° 16-493-7</t>
  </si>
  <si>
    <t>n° 16-493-6</t>
  </si>
  <si>
    <t>Notification du 07/02/2017</t>
  </si>
  <si>
    <t>RMAR040116DA0970108</t>
  </si>
  <si>
    <t>Mise en place de la pépinière de Lestrade (2016)</t>
  </si>
  <si>
    <t>DOLPHIN Rony</t>
  </si>
  <si>
    <t>ITP du  7/02/2017</t>
  </si>
  <si>
    <t>CE au 16/02/2017</t>
  </si>
  <si>
    <t>RMAR040116DA0970301</t>
  </si>
  <si>
    <t>Mise en place d'une serre de maraîchers et autres équipements</t>
  </si>
  <si>
    <t>RMAR040116DA0970032</t>
  </si>
  <si>
    <t>Installation d'un Héliosec (2015)</t>
  </si>
  <si>
    <t>SARL HABITATION TRIANON</t>
  </si>
  <si>
    <t>RMAR040116DA0970263</t>
  </si>
  <si>
    <t>Plantation de canne à sucre sur 0,50 ha (2016)</t>
  </si>
  <si>
    <t>ALEBE Corinne</t>
  </si>
  <si>
    <t>RMAR040116DA0970051</t>
  </si>
  <si>
    <t>Replantation de canne à sucre sur 0,8ha (2016)</t>
  </si>
  <si>
    <t>CRIQUET Jean Nestor</t>
  </si>
  <si>
    <t>RMAR040116DA0970045</t>
  </si>
  <si>
    <t>Aménagement de la station de consitionnement (2014)</t>
  </si>
  <si>
    <t>SARL BEAUREGARD</t>
  </si>
  <si>
    <t>RMAR040116DA0970069</t>
  </si>
  <si>
    <t>Plantation de vitroplants banane sur 4,96ha (2015)</t>
  </si>
  <si>
    <t>SARL LITTLE</t>
  </si>
  <si>
    <t>Modernisation de l'atelier de découpe CODEM</t>
  </si>
  <si>
    <t>CODEM</t>
  </si>
  <si>
    <t>RMAR040216DA0970008</t>
  </si>
  <si>
    <t>ITP du 07/02/2017</t>
  </si>
  <si>
    <t>CE du 16/02/2017</t>
  </si>
  <si>
    <t>RMAR040116DA0265</t>
  </si>
  <si>
    <t>CE au 23/02/2017</t>
  </si>
  <si>
    <t>RMAR040116DA00294</t>
  </si>
  <si>
    <t>Plantation de canne 4,5ha (2016)</t>
  </si>
  <si>
    <t>HAYOT Laetitia</t>
  </si>
  <si>
    <t>ITP du 21/02/2017</t>
  </si>
  <si>
    <t>RMAR040116DA0121</t>
  </si>
  <si>
    <t>Plantation vitroplants 3,97ha; traces, aménagement de la station de conditionnement (2015)</t>
  </si>
  <si>
    <t>SARL PAQUEMAR</t>
  </si>
  <si>
    <t>RMAR040116DA0174</t>
  </si>
  <si>
    <t>Plantation vitroplants banane 2,10ha (2015)</t>
  </si>
  <si>
    <t>SARL HABITATION GRAND SUD</t>
  </si>
  <si>
    <t>RMAR040116DA0021</t>
  </si>
  <si>
    <t>Désenclavement de la parcelle et acquisition d'un girobroyeur (2014)</t>
  </si>
  <si>
    <t>RMAR040116DA0248</t>
  </si>
  <si>
    <t>Plantation 34,5ha de canne (2016/2017)</t>
  </si>
  <si>
    <t>SARL BEAUSEJOUR</t>
  </si>
  <si>
    <t>RMAR040116DA0119</t>
  </si>
  <si>
    <t>Plantation vitroplants banane 2,9ha (2014)</t>
  </si>
  <si>
    <t>SARL BAMARYL</t>
  </si>
  <si>
    <t>Notificatio du 23/02/2017</t>
  </si>
  <si>
    <t>Notification du 23/02/2017</t>
  </si>
  <si>
    <t>Notification du 16/03/2017</t>
  </si>
  <si>
    <t>Modernisation et passage en AB - exploitation bananière (2014)</t>
  </si>
  <si>
    <t>EURL CARA</t>
  </si>
  <si>
    <t>ITP du 21/03/2017</t>
  </si>
  <si>
    <t>CE du 24/03/2017</t>
  </si>
  <si>
    <t>Plantation de vitroplants banane sur 10,66 ha et aménagement de la station de conditionnement</t>
  </si>
  <si>
    <t>SARL POTICHE</t>
  </si>
  <si>
    <t>RMAR040116DA0970160</t>
  </si>
  <si>
    <t>Plantation de vitroplants banane sur 4,41 ha (2015)</t>
  </si>
  <si>
    <t>RMAR040116DA0970184</t>
  </si>
  <si>
    <t>Plantation canne à sucre sur 5,85 ha</t>
  </si>
  <si>
    <t>RMAR040116DA0970236</t>
  </si>
  <si>
    <t>Plantation de vitroplants banane sur 6,08 ha (2016)</t>
  </si>
  <si>
    <t>RMAR040116DA0970261</t>
  </si>
  <si>
    <t>Plantation de vitroplants banane sur 3,01 ha (2016)</t>
  </si>
  <si>
    <t>Mise en place d'un verger d'1 ha et équipement agricole (JA)</t>
  </si>
  <si>
    <t>Nicolas ARNOLIN</t>
  </si>
  <si>
    <t>RMAR040116DA0970273</t>
  </si>
  <si>
    <t>RMAR040116DA097004</t>
  </si>
  <si>
    <t>Sous total 4--1-1</t>
  </si>
  <si>
    <t>n°17-64-1</t>
  </si>
  <si>
    <t>n°17-72-1</t>
  </si>
  <si>
    <t>n°17-68-1</t>
  </si>
  <si>
    <t>n°17-65-1</t>
  </si>
  <si>
    <t>n°17-66-1</t>
  </si>
  <si>
    <t>n°17-69-1</t>
  </si>
  <si>
    <t>n°17-70-1</t>
  </si>
  <si>
    <t>n°17-71-1</t>
  </si>
  <si>
    <t>n°17-74-1</t>
  </si>
  <si>
    <t>n°17-67-1</t>
  </si>
  <si>
    <t>n°17-73-1</t>
  </si>
  <si>
    <t>n°17-45-2</t>
  </si>
  <si>
    <t>n°17-45-1</t>
  </si>
  <si>
    <t>n°17-102-1</t>
  </si>
  <si>
    <t>n°17-103-1</t>
  </si>
  <si>
    <t>n°16-761-1</t>
  </si>
  <si>
    <t>n°17-109-1</t>
  </si>
  <si>
    <t>n°17-105-1</t>
  </si>
  <si>
    <t>n°17-106-1</t>
  </si>
  <si>
    <t>n°17-107-1</t>
  </si>
  <si>
    <t>n°17-154-1</t>
  </si>
  <si>
    <t>n°17-155-1</t>
  </si>
  <si>
    <t>n°17-156-1</t>
  </si>
  <si>
    <t>n°17-157-1</t>
  </si>
  <si>
    <t>n°17-158-1</t>
  </si>
  <si>
    <t>n°17-159-1</t>
  </si>
  <si>
    <t>n°17-104-1</t>
  </si>
  <si>
    <t>RMAR040116DA0970044</t>
  </si>
  <si>
    <t>Plantation de vitroplants banane sur4,7ha (2014)</t>
  </si>
  <si>
    <t>SARL PERPIGNA</t>
  </si>
  <si>
    <t>ITP du 18/04/2017</t>
  </si>
  <si>
    <t>CE du 27/04/2017</t>
  </si>
  <si>
    <t>RMAR040116DA0970132</t>
  </si>
  <si>
    <t>Plantation de vitroplants banane sur 8,62ha et aménagement de la station de conditionnement (2015)</t>
  </si>
  <si>
    <t>RMAR040116DA0970085</t>
  </si>
  <si>
    <t>Plantation de vitroplants banane sur 11,33ha (2014</t>
  </si>
  <si>
    <t>SARL RESSOURCE</t>
  </si>
  <si>
    <t>RMAR040116DA0970087</t>
  </si>
  <si>
    <t>Plantation de vitroplants banane sur 6,28ha et aménagement de la station de conditionnement (2015)</t>
  </si>
  <si>
    <t>SARL RECCOURCE</t>
  </si>
  <si>
    <t>RMAR040116DA0970153</t>
  </si>
  <si>
    <t>Plantation de vitroplants banane sur 5,55ha et plantation de cannes sur 9,01ha (2014)</t>
  </si>
  <si>
    <t>RMAR040116DA0970250</t>
  </si>
  <si>
    <t>Plantation de 8,54ha de canne à sucre (2016)</t>
  </si>
  <si>
    <t>RMAR040116DA0970258</t>
  </si>
  <si>
    <t>Plantation de canne à sucre et épierrage sur 13,34ha (2016/2017)</t>
  </si>
  <si>
    <t>Confortement et diversification d'une activité apicole existante (2016)</t>
  </si>
  <si>
    <t>RICHOL Dorothé Sanlee Yo</t>
  </si>
  <si>
    <t>RMAR04217DA0970003</t>
  </si>
  <si>
    <t>GODOMEN Patrick</t>
  </si>
  <si>
    <t>Mise en place atelier de production de jus de canne, certifié AB</t>
  </si>
  <si>
    <t>Notification du 20/04/2017</t>
  </si>
  <si>
    <t>RMAR040116DA0970173</t>
  </si>
  <si>
    <t>Plantation de vitroplants 2014, réalisation de traces</t>
  </si>
  <si>
    <t>RMAR040116DA0970144</t>
  </si>
  <si>
    <t>Plantation de vitroplants banane sur 27,81ha (2015)</t>
  </si>
  <si>
    <t>EARL BELFORT</t>
  </si>
  <si>
    <t>RMAR040116DA0970231</t>
  </si>
  <si>
    <t>Equipements et modernisation de l'exploitation</t>
  </si>
  <si>
    <t>EARL LE DOMAINE DE LA BERGERIE</t>
  </si>
  <si>
    <t>RMAR040116DA0970079</t>
  </si>
  <si>
    <t>Plantation de vitroplants banane sur 30,81 ha en 2015 ((dossier faisant parti d'un projet global)</t>
  </si>
  <si>
    <t>SARL Exploitation Petit Morne</t>
  </si>
  <si>
    <t>RMAR040116DA0970310</t>
  </si>
  <si>
    <t>Investissement d'équipement pour une exploitation de bananes d'exportation</t>
  </si>
  <si>
    <t>EAL CANIFRUITS (JA)</t>
  </si>
  <si>
    <t xml:space="preserve">CE du 09/03/2017
 </t>
  </si>
  <si>
    <t xml:space="preserve">CE du 16/03/2017
 </t>
  </si>
  <si>
    <t>Notification en cours le 27/04/2017</t>
  </si>
  <si>
    <t>n°17-279-1</t>
  </si>
  <si>
    <t>n°17-276-1</t>
  </si>
  <si>
    <t>n°17-275-1</t>
  </si>
  <si>
    <t>n°17-278-1</t>
  </si>
  <si>
    <t>n°17-274-1</t>
  </si>
  <si>
    <t>n°17-273-1</t>
  </si>
  <si>
    <t>Notification du 2/05/2017</t>
  </si>
  <si>
    <t>RMAR04216DA0970004</t>
  </si>
  <si>
    <t>Amélioration du bâtiment de laboratoire et de la colone pour le suivi de la transformation et l'amélioration de la qualité des rhums</t>
  </si>
  <si>
    <t>CE du 4 /05/2017</t>
  </si>
  <si>
    <t>n° 16-755-2</t>
  </si>
  <si>
    <t>n°16-754-1</t>
  </si>
  <si>
    <t>Notification du 23/05/2017</t>
  </si>
  <si>
    <t>ITP du 23/05/2017</t>
  </si>
  <si>
    <t>RMAR040116DA0970126</t>
  </si>
  <si>
    <t>Traces, épandages, irrigation et création de serre pour diversification végétale (2ème partie (2016)</t>
  </si>
  <si>
    <t>RMAR040116DA0970287</t>
  </si>
  <si>
    <t>Replantation de 1ha de canne à sucre (2016)</t>
  </si>
  <si>
    <t>RANO GUY GILLES</t>
  </si>
  <si>
    <t>RMAR040116DA0970211</t>
  </si>
  <si>
    <t>Plantation de 1,89ha de canne à sucre (2015)</t>
  </si>
  <si>
    <t>BELAY Lucien</t>
  </si>
  <si>
    <t>RMAR040116DA0970255</t>
  </si>
  <si>
    <t>Mécanisation de la gestion de l'enherbement (2016)</t>
  </si>
  <si>
    <t>SNPC</t>
  </si>
  <si>
    <t>Aide au démarage d'entreprise pour les jeunes agriculteurs (avenant)</t>
  </si>
  <si>
    <t>n°17-372-1</t>
  </si>
  <si>
    <t>n°17-375-1</t>
  </si>
  <si>
    <t>n°17-369-1</t>
  </si>
  <si>
    <t>n°17-368-1</t>
  </si>
  <si>
    <t>CE du 15/06/2017</t>
  </si>
  <si>
    <t>16-673-3</t>
  </si>
  <si>
    <t>Modernisation d'une exploitation agricole (mécanisation)</t>
  </si>
  <si>
    <t>SCEA CANT-AGRI</t>
  </si>
  <si>
    <t>ITP du 29/06/2017</t>
  </si>
  <si>
    <t>Notification du 4/07/2017</t>
  </si>
  <si>
    <t>n° 17-549-1</t>
  </si>
  <si>
    <t>n° 17-548-1</t>
  </si>
  <si>
    <t>n° 17-547-1</t>
  </si>
  <si>
    <t>RMAR040116DA0970202</t>
  </si>
  <si>
    <t>Plantation de 8,99 ha de bananes et de 26,32 ha de canne (2015)</t>
  </si>
  <si>
    <t>RMAR040116DA0970191</t>
  </si>
  <si>
    <t>Mise en place d'un nouvel itinéraire technique pour l'ananas</t>
  </si>
  <si>
    <t>CAPRON Jean-Claude</t>
  </si>
  <si>
    <t>RMAR040116DA0970277</t>
  </si>
  <si>
    <t>Reconversion de la bannane ex^port en canne à sucre. Projet de plantation sur 9 ha (2017/2019)</t>
  </si>
  <si>
    <t>EDGARD Serge</t>
  </si>
  <si>
    <t>RMAR040116DA0970036</t>
  </si>
  <si>
    <t>Notification du 20/04/207</t>
  </si>
  <si>
    <t>n° 17-277-1</t>
  </si>
  <si>
    <t>n°17-139-1</t>
  </si>
  <si>
    <t>Notification du  /02/2017</t>
  </si>
  <si>
    <t>n°16-759-1</t>
  </si>
  <si>
    <t>n°16-757-1</t>
  </si>
  <si>
    <t>n16-314-2</t>
  </si>
  <si>
    <t>n16-314-1</t>
  </si>
  <si>
    <t>n°16-494-4</t>
  </si>
  <si>
    <t>n°16-494-3</t>
  </si>
  <si>
    <t>n°16-493-2</t>
  </si>
  <si>
    <t>n°16-493-5</t>
  </si>
  <si>
    <t>n°16-493-3</t>
  </si>
  <si>
    <t>n°16-494-5</t>
  </si>
  <si>
    <t>n°16-494-6</t>
  </si>
  <si>
    <t>n°16-600-1</t>
  </si>
  <si>
    <t>n°16-600-2</t>
  </si>
  <si>
    <t>n°16-600-3</t>
  </si>
  <si>
    <t>n°16-600-4</t>
  </si>
  <si>
    <t>n°16-600-5</t>
  </si>
  <si>
    <t>16-674-8</t>
  </si>
  <si>
    <t>16-674-5</t>
  </si>
  <si>
    <t>16-674-2</t>
  </si>
  <si>
    <t>16-674-3</t>
  </si>
  <si>
    <t>16-674-4</t>
  </si>
  <si>
    <t>16-674-7</t>
  </si>
  <si>
    <t>n°17-367-1</t>
  </si>
  <si>
    <t>n°17-371-1</t>
  </si>
  <si>
    <t>n°17-370-1</t>
  </si>
  <si>
    <t>n°17-366-1</t>
  </si>
  <si>
    <t xml:space="preserve">ITP du 15/03/2017
</t>
  </si>
  <si>
    <t xml:space="preserve">ITP du 07/02/2017
</t>
  </si>
  <si>
    <t>RMAR040116DA970149</t>
  </si>
  <si>
    <t>n°17-409-1</t>
  </si>
  <si>
    <t>n°17-411-1</t>
  </si>
  <si>
    <t>n°16-373-1</t>
  </si>
  <si>
    <t>n°17-94-1</t>
  </si>
  <si>
    <t>n°17-95-2</t>
  </si>
  <si>
    <t>n°17-96-1</t>
  </si>
  <si>
    <t>n°17-98-1</t>
  </si>
  <si>
    <t>n°17-99-1</t>
  </si>
  <si>
    <t>Coût total projet</t>
  </si>
  <si>
    <t>Mise en place de techniques innovantes en ensilage pour un élevage bovin naisseur-engraisseur</t>
  </si>
  <si>
    <t>EARL FERME AURORE</t>
  </si>
  <si>
    <t>RMAR040116DA0970104</t>
  </si>
  <si>
    <t>Modernisation de l'exploitation Elevage Pointe Royale (2015-2017)</t>
  </si>
  <si>
    <t>SARL ELEVAGE POINTE ROYALE</t>
  </si>
  <si>
    <t xml:space="preserve"> 04/07/2017</t>
  </si>
  <si>
    <t xml:space="preserve">CPS / ITP                                                          </t>
  </si>
  <si>
    <t>RMAR04116DA0970283</t>
  </si>
  <si>
    <t>Plantation de 3,79ha de canne à sucre et acquisition de matériel agricole (2016)</t>
  </si>
  <si>
    <t>RMAR040116DA0970285</t>
  </si>
  <si>
    <t>Modernisation d'une exploitation agricole jardiniers du Nord</t>
  </si>
  <si>
    <t>SARL LES JARDINIERS DU NORD</t>
  </si>
  <si>
    <t>RMAR040116DA0970270</t>
  </si>
  <si>
    <t>Plantation de cannes à sucre et acquisition de matériels</t>
  </si>
  <si>
    <t>FLORENTIN Henri</t>
  </si>
  <si>
    <t>RMAR040116DA0970249</t>
  </si>
  <si>
    <t>Plantation de 19,24ha de bananes et de 9,75ha de cannes. Acquisition d'un appareil de traitement anti-cercosporiose</t>
  </si>
  <si>
    <t>RMAR040116DA0970072</t>
  </si>
  <si>
    <t>Mécanisation canne (2015)</t>
  </si>
  <si>
    <t>SARL EXPLOITATION PLAINE DU GALION</t>
  </si>
  <si>
    <t>RMAR04006DA0970113</t>
  </si>
  <si>
    <t>Coût total éligible</t>
  </si>
  <si>
    <t>AP des 27 et 28/07/2017</t>
  </si>
  <si>
    <t>RMAR040116DA0970256</t>
  </si>
  <si>
    <t>Mécanisation de la gestion de l'enherbement</t>
  </si>
  <si>
    <t>GFA CHANCEL</t>
  </si>
  <si>
    <t>ITP du  18/07/2017</t>
  </si>
  <si>
    <t>RMAR040116DA0970205</t>
  </si>
  <si>
    <t>Plantation de canne sur 11,75 ha (2015)</t>
  </si>
  <si>
    <t>PARNASSE SARL</t>
  </si>
  <si>
    <t>RMAR040116DA0970156</t>
  </si>
  <si>
    <t>Acquisition de matériel agricole pour l'amélioration de l'exploitation - 2015 (Partie II)</t>
  </si>
  <si>
    <t>EXPLOITATION AGRICOLE BASSE POINTE</t>
  </si>
  <si>
    <t>RMAR040116DA0970200</t>
  </si>
  <si>
    <t>Plantation de vitroplants 2015 (1ère partie)</t>
  </si>
  <si>
    <t>RMAR040116DA0970107</t>
  </si>
  <si>
    <t>Plantation de canne et investissements agricoles pour les activités canne et élevage de la SCEA VICTOIRE</t>
  </si>
  <si>
    <t>SCEA VICTOIRE</t>
  </si>
  <si>
    <t>RMAR040116DA0970299</t>
  </si>
  <si>
    <t>Plantation de verger d'agrumes et acquisition de matériel agricole 2014</t>
  </si>
  <si>
    <t>EARL MARANATHA</t>
  </si>
  <si>
    <t>n°16-756-1
 Modif 17-44-1</t>
  </si>
  <si>
    <t>n°16-674-6
n°16-845-1</t>
  </si>
  <si>
    <t>n° 17-551-1</t>
  </si>
  <si>
    <t>n°17-760-1</t>
  </si>
  <si>
    <t>n°17-759-1</t>
  </si>
  <si>
    <t>n°17-767-1</t>
  </si>
  <si>
    <t>n°17-768-1</t>
  </si>
  <si>
    <t>n°17-761-1</t>
  </si>
  <si>
    <t>n°16-195-2</t>
  </si>
  <si>
    <t>n°16-195-1</t>
  </si>
  <si>
    <t>n°17-766-1</t>
  </si>
  <si>
    <t>n°17-666-1</t>
  </si>
  <si>
    <t>n°17-667-1</t>
  </si>
  <si>
    <t>n°17-670-1</t>
  </si>
  <si>
    <t>n°17-668-1</t>
  </si>
  <si>
    <t>n°17-271-1</t>
  </si>
  <si>
    <t>n°17-272-1</t>
  </si>
  <si>
    <t>n°17-270-1</t>
  </si>
  <si>
    <t>n°17-267-1</t>
  </si>
  <si>
    <t>n°17-266-1</t>
  </si>
  <si>
    <t>n°17-269-1</t>
  </si>
  <si>
    <t>RMAR040116DA0970292</t>
  </si>
  <si>
    <t>CE du 04/07/2017</t>
  </si>
  <si>
    <t>CE du 31/07/2017</t>
  </si>
  <si>
    <t xml:space="preserve"> ITP                                                          </t>
  </si>
  <si>
    <t>RMAR040116DA0970121</t>
  </si>
  <si>
    <t>Total FEADER</t>
  </si>
  <si>
    <t xml:space="preserve">% aides publiques                 </t>
  </si>
  <si>
    <t>ITP du  29/06/2017</t>
  </si>
  <si>
    <t>RMAR040116DA0970061</t>
  </si>
  <si>
    <t>Travaux d'amélioration foncières T5, T7 Godinct, RP5 - 2014</t>
  </si>
  <si>
    <t>EARL Domaines THIEUBERT</t>
  </si>
  <si>
    <t>RMAR040116DA0970183</t>
  </si>
  <si>
    <t>Mise en place d'un verger et investissement matériel</t>
  </si>
  <si>
    <t>MARIE-CALIXTE Patrick</t>
  </si>
  <si>
    <t>RMAR040116DA0970252</t>
  </si>
  <si>
    <t>Plantation de canne à sucre sur 36,28ha - 2016/2017</t>
  </si>
  <si>
    <t>RHUMS MARTINIQUAIS SAINT-JAMES</t>
  </si>
  <si>
    <t>RMAR040116DA0970157</t>
  </si>
  <si>
    <t>Acquisition de matériel agricole. Amélioration foncière de l'exploitation - 2015 (2ème partie du projet)</t>
  </si>
  <si>
    <t>EXPLOITATION AGRICOLE MONTAGNE PELEE</t>
  </si>
  <si>
    <t>RMAR040116DA0970221</t>
  </si>
  <si>
    <t>Plantation de vitroplants banane sur 18,16ha (2014)</t>
  </si>
  <si>
    <t>SARL MACOUBA</t>
  </si>
  <si>
    <t>RMAR19016CT0970003</t>
  </si>
  <si>
    <t>Prestation d'assistance pour l'élaboration d'une stratégie territoriale dans le cadre de la candidature LEADER 2014-2020</t>
  </si>
  <si>
    <t>RMAR19016CT0970002</t>
  </si>
  <si>
    <t>Assistance MO Élaboration de la stratégie LEADER 2014-2020</t>
  </si>
  <si>
    <t>RMAR19016CT0970001</t>
  </si>
  <si>
    <t>CACEM</t>
  </si>
  <si>
    <t>CAESM</t>
  </si>
  <si>
    <t>CAP NORD</t>
  </si>
  <si>
    <t>19. Soutien au développement local LEADER
19.1 Soutien préparatoire</t>
  </si>
  <si>
    <t>8.6.2. Accroissement de la valeur ajoutée des produits sylvicoles</t>
  </si>
  <si>
    <t>RMAR040116DA09700XX</t>
  </si>
  <si>
    <t>Modernisation de l'activité d'exploitation forestière par la mise en œuvre du débardage par câble mat</t>
  </si>
  <si>
    <t>CREDIT MEUBLE SARL</t>
  </si>
  <si>
    <t>RMAR040116DA0970099</t>
  </si>
  <si>
    <t>Amélioration de l'exploitation des parcelles, plantation de canne à sucre. Acquisition de matériel - 2016</t>
  </si>
  <si>
    <t>SA EXPLOITATION AGRICOLE BASSE POINTE (EAPB)</t>
  </si>
  <si>
    <t>RMAR040116DA0970073</t>
  </si>
  <si>
    <t>Plantation de canne à sucre et mécanisation 2016</t>
  </si>
  <si>
    <t>SARL EXPLOITATION PLAINE DU GALION (EPG)</t>
  </si>
  <si>
    <t>RMAR040116DA0970154</t>
  </si>
  <si>
    <t>Mécanisation 2014 (2ème partie du projet)</t>
  </si>
  <si>
    <t>RMAR040116DA0970089</t>
  </si>
  <si>
    <t>Plantation de vitroplants banane 2015, réalisation de traces et irrigation</t>
  </si>
  <si>
    <t>SARL HABITATION LA RICHARD</t>
  </si>
  <si>
    <t>RMAR040116DA0970093</t>
  </si>
  <si>
    <t>Acquisition de matériel et aménagement des infrastructures en 2015</t>
  </si>
  <si>
    <t>RMAR040116DA0970026</t>
  </si>
  <si>
    <t>Acquisition de matériel (2015)</t>
  </si>
  <si>
    <t>WILLY LOUISY DANIEL</t>
  </si>
  <si>
    <t>Plantation 2016 et aménagement de station de conditionnement</t>
  </si>
  <si>
    <t>RMAR040116DA0970012</t>
  </si>
  <si>
    <t>Acquisition de matériels et modernisaation des installations de la SAS "HABITATION PECOUL en 2014</t>
  </si>
  <si>
    <t>RMAR040116DA0970013</t>
  </si>
  <si>
    <t>Modernisation de matériels et installation de la SAS HABITATION PECOUL en 2015-2016</t>
  </si>
  <si>
    <t>RMAR040116DA0970225</t>
  </si>
  <si>
    <t>Plantation de vitroplants banane sur 862 ha, modernisation du hangar et autres investissements agricoles (2016 et 2017)</t>
  </si>
  <si>
    <t>ITP du 3/08/2017</t>
  </si>
  <si>
    <t xml:space="preserve">Notif en cours </t>
  </si>
  <si>
    <t>Prévu le 05/10/2017</t>
  </si>
  <si>
    <t>ITP du 11/09/2017</t>
  </si>
  <si>
    <t xml:space="preserve">ITP du  18/07/2017
</t>
  </si>
  <si>
    <t>31/07/2017
14/09/2017</t>
  </si>
  <si>
    <t xml:space="preserve">31/07/2017
14/09/2017
</t>
  </si>
  <si>
    <t>04/07/2017
14/09/2017</t>
  </si>
  <si>
    <t>CE au 23/02/2017
14/09/2017</t>
  </si>
  <si>
    <t>Compensation de surcoûts pour les produits de la pêche et de l'aquaculture à la Martinique - er semestre 2016</t>
  </si>
  <si>
    <t>PFEA700017CT0970006</t>
  </si>
  <si>
    <t>M. PUISY Mathieu</t>
  </si>
  <si>
    <t>PFEA700017CT0970005</t>
  </si>
  <si>
    <t>M. HUYGUES DESPOINTES Maxime</t>
  </si>
  <si>
    <t>PFEA700017CT0970007</t>
  </si>
  <si>
    <t>SARL SUD PECHE - M. ZADIK Ludbert</t>
  </si>
  <si>
    <t>PFEA700017CT0970002</t>
  </si>
  <si>
    <t>SARL OMBRINE AQUACULTURE - Mme VILLANOVE Isabelle</t>
  </si>
  <si>
    <t>PFEA700017CT0970010</t>
  </si>
  <si>
    <t>M. SEGRETIER Jérôme Maurice</t>
  </si>
  <si>
    <t>PFEA700017CT0970003</t>
  </si>
  <si>
    <t>PFEA700017CT0970020</t>
  </si>
  <si>
    <t>M. FLAUSSE Arnaud</t>
  </si>
  <si>
    <t>PFEA700017CT0970011</t>
  </si>
  <si>
    <t>M. FERGULE Jean-Michel Joseph</t>
  </si>
  <si>
    <t>PFEA700017CT0970012</t>
  </si>
  <si>
    <t>M. DUVILLE André</t>
  </si>
  <si>
    <t>PFEA700017CT0970038</t>
  </si>
  <si>
    <t>M. MARINE Edouard</t>
  </si>
  <si>
    <t>PFEA700017CT0970004</t>
  </si>
  <si>
    <t>M. COLOMBIER Sébastien</t>
  </si>
  <si>
    <t>TOTAL FEAMP programmé</t>
  </si>
  <si>
    <t>Sous total 7.0</t>
  </si>
  <si>
    <t>Mesure 7.0 - OT 3 -PI 5</t>
  </si>
  <si>
    <t>PFEA700017CT0970028</t>
  </si>
  <si>
    <t>Aide au titre du plan de compensation de surcoût pour les produits de la pêche du 2ème semestre 2016</t>
  </si>
  <si>
    <t>MARINE Edouard</t>
  </si>
  <si>
    <t>PFEA700017CT0970026</t>
  </si>
  <si>
    <t>FERJULE Jean-Michel</t>
  </si>
  <si>
    <t>PFEA700017CT0970029</t>
  </si>
  <si>
    <t>HUYGUES DESPOINTES Maxime</t>
  </si>
  <si>
    <t>PFEA700017CT0970027</t>
  </si>
  <si>
    <t>EDMOND Eriick</t>
  </si>
  <si>
    <t>PFEA700017CT0970025</t>
  </si>
  <si>
    <t>GRELET Jacques</t>
  </si>
  <si>
    <t>PFEA700017CT0970047</t>
  </si>
  <si>
    <t>PFEA700017CT0970049</t>
  </si>
  <si>
    <t>SEGRETIER Gérôme</t>
  </si>
  <si>
    <t>Compensation de surcoûts pour les produits de la pêche et de l'aquaculture à la Martinique - année 2014</t>
  </si>
  <si>
    <t>HENRY Victor</t>
  </si>
  <si>
    <t>PFEA700017CT0970017</t>
  </si>
  <si>
    <t>PFEA700017CT0970080</t>
  </si>
  <si>
    <t>ZADICK Ludbert SARL SUD PECHE</t>
  </si>
  <si>
    <t>PFEA700017CT0970046</t>
  </si>
  <si>
    <t>RACINE Alex</t>
  </si>
  <si>
    <t>PFEA700017CT0970051</t>
  </si>
  <si>
    <t>RAGOT Alexis - EI RAGOT</t>
  </si>
  <si>
    <t>PFEA700017CT0970013</t>
  </si>
  <si>
    <t>Compensation de surcoûts pour les produits de la pêche et de l'aquaculture à la Martinique - année 2015</t>
  </si>
  <si>
    <t>PFEA700017CT0970090</t>
  </si>
  <si>
    <t>HENRY Charles ARMDAV</t>
  </si>
  <si>
    <t>PFEA700017CT0970018</t>
  </si>
  <si>
    <t>PFEA700017CT0970016</t>
  </si>
  <si>
    <t>PFEA700017CT0970089</t>
  </si>
  <si>
    <t>Compensation de surcoûts pour les produits de la pêche et de l'aquaculture à la Martinique - 1er semestre 2016</t>
  </si>
  <si>
    <t>SUIVANT Xavier - SARL AQUA XS</t>
  </si>
  <si>
    <t>PFEA700017CT0970091</t>
  </si>
  <si>
    <t>PFEA700017CT0970008</t>
  </si>
  <si>
    <t>PFEA700017CT0970037</t>
  </si>
  <si>
    <t>JEAN-LOUIS Olivier</t>
  </si>
  <si>
    <t>PFEA700017CT0970040</t>
  </si>
  <si>
    <t>COCO Hugues Fernand</t>
  </si>
  <si>
    <t>PFEA700017CT0970042</t>
  </si>
  <si>
    <t>PFEA700017CT0970081</t>
  </si>
  <si>
    <t>Compensation de surcoûts pour les produits de la pêche et de l'aquaculture à la Martinique - 2ème semestre 2016</t>
  </si>
  <si>
    <t>FEAMP</t>
  </si>
  <si>
    <t>M. NAZAIRE Grégory</t>
  </si>
  <si>
    <t>NAZAIRE Grégory</t>
  </si>
  <si>
    <t>COLOMBIER Sébastien</t>
  </si>
  <si>
    <t>18-91-1</t>
  </si>
  <si>
    <t>Aide au titre du plan de compensation de surcoût pour les produits de la pêche côtière en yole de moins de 10 m et pêche a large en yole de moins de 10 m - année 2014</t>
  </si>
  <si>
    <t>PFEA700017CT0970015</t>
  </si>
  <si>
    <t>PFEA700017CT0970096</t>
  </si>
  <si>
    <t>Production et commercialisation de l'ombrine ocellée - année 2014</t>
  </si>
  <si>
    <t>PFEA700017CT0970054</t>
  </si>
  <si>
    <t>DUVILLE André</t>
  </si>
  <si>
    <t>PFEA700017CT0970102</t>
  </si>
  <si>
    <t>Aide au titre du plan de compensation de surcoût pour les produits de la pêche et de la production de l'ombrine ocellée - année 2014</t>
  </si>
  <si>
    <t>18-45-1</t>
  </si>
  <si>
    <t>PFEA700017CT0970097</t>
  </si>
  <si>
    <t>Aide au titre du plan de compensation de surcoût pour les produits de la pêche et de la production de l'ombrine ocellée - année 2015</t>
  </si>
  <si>
    <t>SARL AQUA XS - Monsieur SUIVANT Xavier</t>
  </si>
  <si>
    <t>18-52-2</t>
  </si>
  <si>
    <t>PFEA700017CT0970103</t>
  </si>
  <si>
    <t>EI  RACINE AQUACULTURE</t>
  </si>
  <si>
    <t>18-52-3</t>
  </si>
  <si>
    <t>PFEA700017CT0970071</t>
  </si>
  <si>
    <t>Aide au titre du plan de compensation de surcoût pour les produits de la pêche au large en yole de moins de 10 m et pêche côtière en yole de moins de 10 m - 1er semestre 2017</t>
  </si>
  <si>
    <t>18-51-1</t>
  </si>
  <si>
    <t>PFEA700017CT0970057</t>
  </si>
  <si>
    <t>18-51-2</t>
  </si>
  <si>
    <t>PFEA700017CT0970059</t>
  </si>
  <si>
    <t>18-51-3</t>
  </si>
  <si>
    <t>PFEA700017CT0970104</t>
  </si>
  <si>
    <t>18-52-1</t>
  </si>
  <si>
    <t>PFEA700017CT0970052</t>
  </si>
  <si>
    <t>PFEA700017CT0970065</t>
  </si>
  <si>
    <t>Aide au titre du plan de compensation de surcoût pour les produits de la pêche au large en navire ponté de 10-12 m - 1er semestre 2017</t>
  </si>
  <si>
    <t>HENRY Victor Thomas</t>
  </si>
  <si>
    <t>PFEA700017CT0970055</t>
  </si>
  <si>
    <t>Aide au titre du plan de compensation de surcoût pour les produits de la pêche 2ème  semestre 2016</t>
  </si>
  <si>
    <t>18-91-2</t>
  </si>
  <si>
    <t>PFEA700017CT0970094</t>
  </si>
  <si>
    <t>18-164-2</t>
  </si>
  <si>
    <t>PFEA700017CT0970014</t>
  </si>
  <si>
    <t>18-164-1</t>
  </si>
  <si>
    <t>18-294-1</t>
  </si>
  <si>
    <t>18-294-2</t>
  </si>
  <si>
    <t>18-90,1</t>
  </si>
  <si>
    <t>78 R - Assistance Technique Régionale du FEAMP</t>
  </si>
  <si>
    <t>PFEA780218CT097</t>
  </si>
  <si>
    <t>Assistance Technique FEAMP 2016 à 2018 Rémunérations</t>
  </si>
  <si>
    <t>CTM - DGARH</t>
  </si>
  <si>
    <t>18-210-1</t>
  </si>
  <si>
    <t>OTP Mesure 68</t>
  </si>
  <si>
    <t>PFEA0680218CT0970002</t>
  </si>
  <si>
    <t>Création d'un atelier de transformation des produits de la pêche et de l'aquaculture - volet commercialisation</t>
  </si>
  <si>
    <t>SARL LES TI'FUMES DE CLEMENT</t>
  </si>
  <si>
    <t>Sous total 68</t>
  </si>
  <si>
    <t>Sous total 78 R</t>
  </si>
  <si>
    <t>OTP 3 -PI 1 Mesure 32</t>
  </si>
  <si>
    <t>Amélioration de la sécurité à bord d'un navire de pêche</t>
  </si>
  <si>
    <t>SEGRETIER Jérôme</t>
  </si>
  <si>
    <t>17-860-7</t>
  </si>
  <si>
    <t>17-860-11</t>
  </si>
  <si>
    <t>17-860-4</t>
  </si>
  <si>
    <t>17-860-3</t>
  </si>
  <si>
    <t>17-860-1</t>
  </si>
  <si>
    <t>17-860-8</t>
  </si>
  <si>
    <t>17-860-10</t>
  </si>
  <si>
    <t>17-860-2</t>
  </si>
  <si>
    <t>17-860-6</t>
  </si>
  <si>
    <t>17-860-9</t>
  </si>
  <si>
    <t>17-860-5</t>
  </si>
  <si>
    <t>17-1282-2</t>
  </si>
  <si>
    <t>17-1282-1</t>
  </si>
  <si>
    <t>17-1280-4</t>
  </si>
  <si>
    <t>17-1280-2</t>
  </si>
  <si>
    <t>17-1282-3</t>
  </si>
  <si>
    <t>17-1280-1</t>
  </si>
  <si>
    <t>17-1286-5</t>
  </si>
  <si>
    <t>17-1286-4</t>
  </si>
  <si>
    <t>17-1286-2</t>
  </si>
  <si>
    <t>17-1286-6</t>
  </si>
  <si>
    <t>17-1286-3</t>
  </si>
  <si>
    <t>17-1288-1</t>
  </si>
  <si>
    <t>18-91-3</t>
  </si>
  <si>
    <t>PFEA320018CT097002</t>
  </si>
  <si>
    <t>OTP Mesure 41 - Aide à la remotorisation  - OT 3 - PI</t>
  </si>
  <si>
    <t>PFEA411117CT0970005</t>
  </si>
  <si>
    <t>Efficac ité énergatique et atténuation de changement climatique</t>
  </si>
  <si>
    <t>M. DELOR Max</t>
  </si>
  <si>
    <t>Sous total 41</t>
  </si>
  <si>
    <t>PFEA700018CT0970027</t>
  </si>
  <si>
    <t>Aide au tritre du plan de compensation de surcoût pour la production des produits de la pêche du 2ème semestre 2017</t>
  </si>
  <si>
    <t>C.P.E.</t>
  </si>
  <si>
    <t>PFEA700018CT0970003</t>
  </si>
  <si>
    <t>48.1 Investissement productif en aquaculture</t>
  </si>
  <si>
    <t>PFEA480018CT0970001</t>
  </si>
  <si>
    <t>Modernisation d'une installation aquacole et sécurisation des infrastructures de production</t>
  </si>
  <si>
    <t>EI RACINE AQUACULTURE</t>
  </si>
  <si>
    <t>OT3 -69 Transformation des produits de la pêche et de l'aquaculture</t>
  </si>
  <si>
    <t>PFEA690018CT097002</t>
  </si>
  <si>
    <t>Transformation des produits de la pêche et de l'aquaculture</t>
  </si>
  <si>
    <t>PFEA780218CT097002</t>
  </si>
  <si>
    <t>Assistance Technique FEAMP 2019 à 2021 Rémunérations</t>
  </si>
  <si>
    <t>18-382-1</t>
  </si>
  <si>
    <t xml:space="preserve"> PFEA700017CT0970026</t>
  </si>
  <si>
    <t>Production de la pêche en mer</t>
  </si>
  <si>
    <t>FLAUSSE Arnaud</t>
  </si>
  <si>
    <t>OT 3 PI 1 Port de pêche, sites de débarquement, halles de criée et abris</t>
  </si>
  <si>
    <t>PFEA430018CT0970003</t>
  </si>
  <si>
    <t>Aménagement de superstructures - port de pêche du MARIN</t>
  </si>
  <si>
    <t>PFEA430018CT0970004</t>
  </si>
  <si>
    <t>Aménagement de superstructures - port de pêche de GRAND RIVIERE</t>
  </si>
  <si>
    <t>Sous total 69</t>
  </si>
  <si>
    <t>Sous total 48.1</t>
  </si>
  <si>
    <t>Sous total 32</t>
  </si>
  <si>
    <t xml:space="preserve">CTM </t>
  </si>
  <si>
    <t xml:space="preserve">CTM  </t>
  </si>
  <si>
    <t xml:space="preserve">Soustotal </t>
  </si>
  <si>
    <t>18-1200-1</t>
  </si>
  <si>
    <t>18-548-1</t>
  </si>
  <si>
    <t>18-594,1</t>
  </si>
  <si>
    <t>PEA700017CT0970013</t>
  </si>
  <si>
    <t>Aide à la pêche en navire ponté – plateau guyanais &gt;12m – Année 2015 – Commune du Marin</t>
  </si>
  <si>
    <t>SARL SUD PECHE – Ludbert ZADICK</t>
  </si>
  <si>
    <t>PEA700017CT0970022</t>
  </si>
  <si>
    <t>Aide à la production aquacole d’Ombrines Ocellés – Année 2015</t>
  </si>
  <si>
    <t>GRIFFIT Raymond
SARL ETOILE DE MER</t>
  </si>
  <si>
    <t>PEA700017CT0970020</t>
  </si>
  <si>
    <t>Aide à la pêche côtière en yole de moins de 10m et Aide à la pêche au large en yole de moins de 10m  – 1er semestre 2016 – Commune des TROIS-ILETS</t>
  </si>
  <si>
    <t>PEA700017CT0970033</t>
  </si>
  <si>
    <t>Aide à la pêche côtière en yole de moins de 10m et Aide à la pêche au large en yole de moins de 10m  – 1er semestre 2016 – Commune des ANSES D’ARLET</t>
  </si>
  <si>
    <t>JEAN-ALPHONSE Christian Rémy</t>
  </si>
  <si>
    <t>PEA700017CT0970053</t>
  </si>
  <si>
    <t>Aide à la pêche côtière en yole de moins de 10m et Aide à la pêche au large en yole de moins de 10m  – 2ème   semestre 2016 – Commune des TROIS-ILETS</t>
  </si>
  <si>
    <t>18-893-1</t>
  </si>
  <si>
    <t>18-894-1</t>
  </si>
  <si>
    <t>18-894-2</t>
  </si>
  <si>
    <t>PFEA700018CT0970013</t>
  </si>
  <si>
    <t>17-1224-2</t>
  </si>
  <si>
    <t>17-1224-1</t>
  </si>
  <si>
    <t>17-1131-1</t>
  </si>
  <si>
    <t>17-1131-2</t>
  </si>
  <si>
    <t>17-1131-3</t>
  </si>
  <si>
    <t>17-1131-4</t>
  </si>
  <si>
    <t>17-1131-5</t>
  </si>
  <si>
    <t>17-282-3</t>
  </si>
  <si>
    <t>17-1286-1</t>
  </si>
  <si>
    <t>Pas de délib vérifié le 19/07/18 et le  8/01/2019</t>
  </si>
  <si>
    <t>28/06/2018
Retiré de l'ODJ</t>
  </si>
  <si>
    <r>
      <rPr>
        <b/>
        <sz val="11"/>
        <color theme="1"/>
        <rFont val="Calibri"/>
        <family val="2"/>
        <scheme val="minor"/>
      </rPr>
      <t>PFEA320018CT097001</t>
    </r>
    <r>
      <rPr>
        <sz val="11"/>
        <color theme="1"/>
        <rFont val="Calibri"/>
        <family val="2"/>
        <scheme val="minor"/>
      </rPr>
      <t xml:space="preserve"> - Amélioration de la sécurité à bord d'un navire de pêche</t>
    </r>
  </si>
  <si>
    <t>18-486-2</t>
  </si>
  <si>
    <t>18-464-1 plan initial</t>
  </si>
  <si>
    <t>18-383-1</t>
  </si>
  <si>
    <t>PFEA430018CT0970005</t>
  </si>
  <si>
    <t>Aménagement de l'étal de vente de poissons sur l'APIT du FRANCOIS</t>
  </si>
  <si>
    <t>Public/MO</t>
  </si>
  <si>
    <t>18-531-1</t>
  </si>
  <si>
    <t>18-384-1</t>
  </si>
  <si>
    <t>Modification de CPE du 04/06/2018 - ITP du 13/03/2018- CE du 12/04/2018- AP du 05/06/2018 - n°18-209-1</t>
  </si>
  <si>
    <t xml:space="preserve"> 17/07/2017</t>
  </si>
  <si>
    <t xml:space="preserve"> 29/08/2017</t>
  </si>
  <si>
    <t>18-340-0</t>
  </si>
  <si>
    <t>FEAMP programmé au 19 décembre 2018:</t>
  </si>
  <si>
    <t>79 R - Assistance Technique Régionale du FEAMP</t>
  </si>
  <si>
    <t>Annulation de l'arrêté n°17-860-10 - pour ajustement du plan de financement</t>
  </si>
  <si>
    <t>PFEA700018CT0970020</t>
  </si>
  <si>
    <t>Compensation de surcoûts pour les productions du 1er semestre 2018</t>
  </si>
  <si>
    <t>Compensation de surcoûts pour les productions du 1er semestre 2017</t>
  </si>
  <si>
    <t>PFEA700018CT0970030</t>
  </si>
  <si>
    <t>PFEA700018CT0970031</t>
  </si>
  <si>
    <r>
      <t>Compensation de surcoûts pour les productions du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semestre 2018</t>
    </r>
  </si>
  <si>
    <t>PFEA700018CT0970029</t>
  </si>
  <si>
    <t>PFEA700017CT0970021</t>
  </si>
  <si>
    <t>Aide au tritre du plan de compensation de surcoût pour la production de l'année 2014</t>
  </si>
  <si>
    <t>SARL ETOILE DE MER</t>
  </si>
  <si>
    <t>PFEA700018CT0970034</t>
  </si>
  <si>
    <t>PFEA700018CT0970033</t>
  </si>
  <si>
    <t>Aide au tritre du plan de compensation de surcoût pour la production de l'année 2018</t>
  </si>
  <si>
    <t>Aide au tritre du plan de compensation de surcoût pour la production du 1er semestre 2018</t>
  </si>
  <si>
    <t>Aide au tritre du plan de compensation de surcoût pour la production de l'année 2019</t>
  </si>
  <si>
    <t xml:space="preserve"> </t>
  </si>
  <si>
    <t xml:space="preserve"> Amélioration de la sécurité à bord d'un navire de pêche</t>
  </si>
  <si>
    <t xml:space="preserve">PFEA480018CT0970001 </t>
  </si>
  <si>
    <t>PFEA480018CT0970002</t>
  </si>
  <si>
    <t>Acquisition d'un véhicule isotherme</t>
  </si>
  <si>
    <t>PFEA700019CT0970016</t>
  </si>
  <si>
    <t>Aide au titre du Plan de Compensation de surcoûts pour la production du 2ème semestre 2018</t>
  </si>
  <si>
    <t>PFEA700019CT0970020</t>
  </si>
  <si>
    <t>PFEA700019CT0970017</t>
  </si>
  <si>
    <t>PFEA700019CT0970014</t>
  </si>
  <si>
    <t>PFEA700019CT0970013</t>
  </si>
  <si>
    <t>PFEA700017CT0970088</t>
  </si>
  <si>
    <t>Aide au titre du Plan de Compensation de surcoûts pour la production du 1er  semestre 2017</t>
  </si>
  <si>
    <t>PFEA700018CT0970035</t>
  </si>
  <si>
    <t>Aide au titre du Plan de Compensation de surcoûts pour la production du 1er  semestre 2018</t>
  </si>
  <si>
    <t>PFEA700017CT0970083</t>
  </si>
  <si>
    <t>Ptoduction des produits de l'aquaculture du 2ème semestre 2016</t>
  </si>
  <si>
    <t>RACINE AQUACULTURE</t>
  </si>
  <si>
    <t>PFEA430018CT0970006</t>
  </si>
  <si>
    <t>SARL OMBRINE AQUACULTURE</t>
  </si>
  <si>
    <t>PFEA700018CT0970041</t>
  </si>
  <si>
    <t>PFEA700018CT0970038</t>
  </si>
  <si>
    <t>PFEA700018CT0970023</t>
  </si>
  <si>
    <t>PFEA700018CT0970010</t>
  </si>
  <si>
    <t>Persone Morale / Personne Physique</t>
  </si>
  <si>
    <t>Nom du bénéficiaire</t>
  </si>
  <si>
    <t>n° Dossier Initial</t>
  </si>
  <si>
    <t>Intitulé du projet</t>
  </si>
  <si>
    <t xml:space="preserve">Description de l'opération </t>
  </si>
  <si>
    <t>Date de début du projet</t>
  </si>
  <si>
    <t>Date de fin du projet</t>
  </si>
  <si>
    <t>Montant total éligilible</t>
  </si>
  <si>
    <t>Montant FEAMP</t>
  </si>
  <si>
    <t>Code postal de l'opération</t>
  </si>
  <si>
    <t>Pays</t>
  </si>
  <si>
    <t>Dénomination de la priorité Union</t>
  </si>
  <si>
    <t>SARL SUD PECHE</t>
  </si>
  <si>
    <t>SARL AQUA XS</t>
  </si>
  <si>
    <t xml:space="preserve">SARL OMBRINE AQUACULTURE </t>
  </si>
  <si>
    <t xml:space="preserve">SARL AQUA XS </t>
  </si>
  <si>
    <t>P</t>
  </si>
  <si>
    <t>M</t>
  </si>
  <si>
    <t>EI RAGOT</t>
  </si>
  <si>
    <t>France</t>
  </si>
  <si>
    <t>PFEA320018CT097001</t>
  </si>
  <si>
    <t>Liste des bénéficiaires FEAMP</t>
  </si>
  <si>
    <t>Mesures régionalisées</t>
  </si>
  <si>
    <t>Edition Septembre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</si>
</sst>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#,##0.00\ &quot;€&quot;;\-#,##0.00\ &quot;€&quot;"/>
    <numFmt numFmtId="43" formatCode="_-* #,##0.00\ _€_-;\-* #,##0.00\ _€_-;_-* &quot;-&quot;??\ _€_-;_-@_-"/>
    <numFmt numFmtId="164" formatCode="[$-40C]General"/>
    <numFmt numFmtId="165" formatCode="[$-40C]#,##0.00"/>
    <numFmt numFmtId="166" formatCode="#,##0.00&quot; &quot;[$€-40C];[Red]&quot;-&quot;#,##0.00&quot; &quot;[$€-40C]"/>
    <numFmt numFmtId="167" formatCode="#,##0.00_ ;\-#,##0.00\ "/>
    <numFmt numFmtId="168" formatCode="#,##0.00\ &quot;€&quot;;[Red]#,##0.00\ &quot;€&quot;"/>
    <numFmt numFmtId="169" formatCode="0.00;[Red]0.00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4"/>
      <color theme="1"/>
      <name val="Myriad Pro"/>
      <family val="2"/>
    </font>
    <font>
      <b/>
      <sz val="48"/>
      <color theme="1"/>
      <name val="Myriad Pro"/>
      <family val="2"/>
    </font>
    <font>
      <i/>
      <sz val="12"/>
      <color theme="1"/>
      <name val="Myriad Pro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3">
    <xf numFmtId="0" fontId="0" fillId="0" borderId="0"/>
    <xf numFmtId="164" fontId="9" fillId="0" borderId="0"/>
    <xf numFmtId="0" fontId="13" fillId="0" borderId="0"/>
    <xf numFmtId="164" fontId="9" fillId="0" borderId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15" fillId="0" borderId="0" applyNumberFormat="0" applyBorder="0" applyProtection="0"/>
    <xf numFmtId="166" fontId="15" fillId="0" borderId="0" applyBorder="0" applyProtection="0"/>
    <xf numFmtId="0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6" fontId="2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3" fillId="11" borderId="0" applyNumberFormat="0" applyBorder="0" applyAlignment="0" applyProtection="0"/>
  </cellStyleXfs>
  <cellXfs count="518">
    <xf numFmtId="0" fontId="0" fillId="0" borderId="0" xfId="0"/>
    <xf numFmtId="0" fontId="0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4" fontId="0" fillId="0" borderId="0" xfId="0" applyNumberFormat="1"/>
    <xf numFmtId="164" fontId="9" fillId="0" borderId="0" xfId="1"/>
    <xf numFmtId="164" fontId="10" fillId="0" borderId="0" xfId="1" applyFont="1" applyFill="1" applyBorder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top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23" fillId="0" borderId="7" xfId="3" applyNumberFormat="1" applyFont="1" applyFill="1" applyBorder="1" applyAlignment="1" applyProtection="1">
      <alignment horizontal="center" vertical="center" wrapText="1"/>
    </xf>
    <xf numFmtId="164" fontId="23" fillId="0" borderId="7" xfId="3" applyFont="1" applyFill="1" applyBorder="1" applyAlignment="1" applyProtection="1">
      <alignment horizontal="center" vertical="center" wrapText="1"/>
    </xf>
    <xf numFmtId="165" fontId="23" fillId="0" borderId="9" xfId="3" applyNumberFormat="1" applyFont="1" applyFill="1" applyBorder="1" applyAlignment="1" applyProtection="1">
      <alignment horizontal="center" vertical="center" wrapText="1"/>
    </xf>
    <xf numFmtId="165" fontId="23" fillId="0" borderId="7" xfId="3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5" fontId="23" fillId="0" borderId="8" xfId="3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25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49" fontId="23" fillId="0" borderId="8" xfId="3" applyNumberFormat="1" applyFont="1" applyFill="1" applyBorder="1" applyAlignment="1" applyProtection="1">
      <alignment horizontal="center" vertical="center" wrapText="1"/>
    </xf>
    <xf numFmtId="49" fontId="23" fillId="0" borderId="9" xfId="3" applyNumberFormat="1" applyFont="1" applyFill="1" applyBorder="1" applyAlignment="1" applyProtection="1">
      <alignment horizontal="center" vertical="center" wrapText="1"/>
    </xf>
    <xf numFmtId="164" fontId="23" fillId="0" borderId="9" xfId="3" applyFont="1" applyFill="1" applyBorder="1" applyAlignment="1" applyProtection="1">
      <alignment horizontal="center" vertical="center" wrapText="1"/>
    </xf>
    <xf numFmtId="164" fontId="23" fillId="0" borderId="10" xfId="3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4" fontId="3" fillId="0" borderId="0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49" fontId="24" fillId="8" borderId="0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 wrapText="1"/>
    </xf>
    <xf numFmtId="4" fontId="17" fillId="7" borderId="1" xfId="0" applyNumberFormat="1" applyFont="1" applyFill="1" applyBorder="1" applyAlignment="1">
      <alignment horizontal="center" vertical="center" wrapText="1"/>
    </xf>
    <xf numFmtId="9" fontId="17" fillId="7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/>
    <xf numFmtId="4" fontId="1" fillId="0" borderId="0" xfId="0" applyNumberFormat="1" applyFont="1"/>
    <xf numFmtId="164" fontId="23" fillId="0" borderId="8" xfId="3" applyFont="1" applyFill="1" applyBorder="1" applyAlignment="1" applyProtection="1">
      <alignment horizontal="center" vertical="center" wrapText="1"/>
    </xf>
    <xf numFmtId="4" fontId="1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3" fillId="0" borderId="13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9" fontId="24" fillId="8" borderId="15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4" fontId="23" fillId="0" borderId="8" xfId="3" applyNumberFormat="1" applyFont="1" applyFill="1" applyBorder="1" applyAlignment="1" applyProtection="1">
      <alignment horizontal="center" vertical="center" wrapText="1"/>
    </xf>
    <xf numFmtId="164" fontId="23" fillId="0" borderId="18" xfId="3" applyFont="1" applyFill="1" applyBorder="1" applyAlignment="1" applyProtection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right" vertical="center"/>
    </xf>
    <xf numFmtId="4" fontId="21" fillId="5" borderId="16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49" fontId="24" fillId="8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9" fontId="3" fillId="3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14" fontId="3" fillId="4" borderId="24" xfId="0" applyNumberFormat="1" applyFont="1" applyFill="1" applyBorder="1" applyAlignment="1">
      <alignment horizontal="center" vertical="center" wrapText="1"/>
    </xf>
    <xf numFmtId="14" fontId="3" fillId="4" borderId="23" xfId="0" applyNumberFormat="1" applyFont="1" applyFill="1" applyBorder="1" applyAlignment="1">
      <alignment horizontal="center" vertical="center" wrapText="1"/>
    </xf>
    <xf numFmtId="0" fontId="3" fillId="4" borderId="24" xfId="0" applyFont="1" applyFill="1" applyBorder="1"/>
    <xf numFmtId="49" fontId="24" fillId="8" borderId="25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9" fontId="3" fillId="3" borderId="26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 wrapText="1"/>
    </xf>
    <xf numFmtId="4" fontId="3" fillId="4" borderId="26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14" fontId="3" fillId="4" borderId="26" xfId="0" applyNumberFormat="1" applyFont="1" applyFill="1" applyBorder="1" applyAlignment="1">
      <alignment horizontal="center" vertical="center" wrapText="1"/>
    </xf>
    <xf numFmtId="14" fontId="3" fillId="4" borderId="27" xfId="0" applyNumberFormat="1" applyFont="1" applyFill="1" applyBorder="1" applyAlignment="1">
      <alignment horizontal="center" vertical="center" wrapText="1"/>
    </xf>
    <xf numFmtId="0" fontId="3" fillId="4" borderId="26" xfId="0" applyFont="1" applyFill="1" applyBorder="1"/>
    <xf numFmtId="14" fontId="3" fillId="0" borderId="27" xfId="0" applyNumberFormat="1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24" fillId="8" borderId="28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/>
    </xf>
    <xf numFmtId="9" fontId="3" fillId="3" borderId="29" xfId="0" applyNumberFormat="1" applyFont="1" applyFill="1" applyBorder="1" applyAlignment="1">
      <alignment horizontal="center" vertical="center" wrapText="1"/>
    </xf>
    <xf numFmtId="4" fontId="3" fillId="3" borderId="29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 wrapText="1"/>
    </xf>
    <xf numFmtId="14" fontId="3" fillId="0" borderId="29" xfId="0" applyNumberFormat="1" applyFont="1" applyBorder="1" applyAlignment="1">
      <alignment horizontal="center" vertical="center" wrapText="1"/>
    </xf>
    <xf numFmtId="14" fontId="3" fillId="4" borderId="30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9" fontId="24" fillId="8" borderId="31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/>
    </xf>
    <xf numFmtId="9" fontId="3" fillId="3" borderId="32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14" fontId="3" fillId="0" borderId="33" xfId="0" applyNumberFormat="1" applyFont="1" applyBorder="1" applyAlignment="1">
      <alignment horizontal="center" vertical="center" wrapText="1"/>
    </xf>
    <xf numFmtId="14" fontId="3" fillId="0" borderId="32" xfId="0" applyNumberFormat="1" applyFont="1" applyBorder="1" applyAlignment="1">
      <alignment horizontal="center" vertical="center" wrapText="1"/>
    </xf>
    <xf numFmtId="14" fontId="3" fillId="4" borderId="33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24" fillId="8" borderId="34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4" fontId="3" fillId="0" borderId="35" xfId="0" applyNumberFormat="1" applyFont="1" applyFill="1" applyBorder="1" applyAlignment="1">
      <alignment horizontal="center" vertical="center"/>
    </xf>
    <xf numFmtId="9" fontId="3" fillId="3" borderId="35" xfId="0" applyNumberFormat="1" applyFont="1" applyFill="1" applyBorder="1" applyAlignment="1">
      <alignment horizontal="center" vertical="center" wrapText="1"/>
    </xf>
    <xf numFmtId="4" fontId="3" fillId="3" borderId="35" xfId="0" applyNumberFormat="1" applyFont="1" applyFill="1" applyBorder="1" applyAlignment="1">
      <alignment horizontal="center" vertical="center" wrapText="1"/>
    </xf>
    <xf numFmtId="4" fontId="3" fillId="0" borderId="35" xfId="0" applyNumberFormat="1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14" fontId="3" fillId="0" borderId="36" xfId="0" applyNumberFormat="1" applyFont="1" applyBorder="1" applyAlignment="1">
      <alignment horizontal="center" vertical="center" wrapText="1"/>
    </xf>
    <xf numFmtId="14" fontId="3" fillId="0" borderId="35" xfId="0" applyNumberFormat="1" applyFont="1" applyBorder="1" applyAlignment="1">
      <alignment horizontal="center" vertical="center" wrapText="1"/>
    </xf>
    <xf numFmtId="14" fontId="3" fillId="4" borderId="36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24" fillId="8" borderId="37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4" fontId="3" fillId="0" borderId="38" xfId="0" applyNumberFormat="1" applyFont="1" applyFill="1" applyBorder="1" applyAlignment="1">
      <alignment horizontal="center" vertical="center"/>
    </xf>
    <xf numFmtId="9" fontId="3" fillId="3" borderId="38" xfId="0" applyNumberFormat="1" applyFont="1" applyFill="1" applyBorder="1" applyAlignment="1">
      <alignment horizontal="center" vertical="center" wrapText="1"/>
    </xf>
    <xf numFmtId="4" fontId="3" fillId="3" borderId="38" xfId="0" applyNumberFormat="1" applyFont="1" applyFill="1" applyBorder="1" applyAlignment="1">
      <alignment horizontal="center" vertical="center" wrapText="1"/>
    </xf>
    <xf numFmtId="4" fontId="3" fillId="0" borderId="38" xfId="0" applyNumberFormat="1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14" fontId="3" fillId="0" borderId="39" xfId="0" applyNumberFormat="1" applyFont="1" applyBorder="1" applyAlignment="1">
      <alignment horizontal="center" vertical="center" wrapText="1"/>
    </xf>
    <xf numFmtId="14" fontId="3" fillId="0" borderId="38" xfId="0" applyNumberFormat="1" applyFont="1" applyBorder="1" applyAlignment="1">
      <alignment horizontal="center" vertical="center" wrapText="1"/>
    </xf>
    <xf numFmtId="14" fontId="3" fillId="4" borderId="39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24" fillId="0" borderId="40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/>
    </xf>
    <xf numFmtId="9" fontId="3" fillId="0" borderId="41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14" fontId="3" fillId="0" borderId="42" xfId="0" applyNumberFormat="1" applyFont="1" applyFill="1" applyBorder="1" applyAlignment="1">
      <alignment horizontal="center" vertical="center" wrapText="1"/>
    </xf>
    <xf numFmtId="14" fontId="3" fillId="0" borderId="41" xfId="0" applyNumberFormat="1" applyFont="1" applyFill="1" applyBorder="1" applyAlignment="1">
      <alignment horizontal="center" vertical="center" wrapText="1"/>
    </xf>
    <xf numFmtId="14" fontId="3" fillId="0" borderId="42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9" fontId="24" fillId="8" borderId="43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4" fontId="3" fillId="0" borderId="44" xfId="0" applyNumberFormat="1" applyFont="1" applyFill="1" applyBorder="1" applyAlignment="1">
      <alignment horizontal="center" vertical="center"/>
    </xf>
    <xf numFmtId="9" fontId="3" fillId="3" borderId="44" xfId="0" applyNumberFormat="1" applyFont="1" applyFill="1" applyBorder="1" applyAlignment="1">
      <alignment horizontal="center" vertical="center" wrapText="1"/>
    </xf>
    <xf numFmtId="4" fontId="3" fillId="0" borderId="44" xfId="0" applyNumberFormat="1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14" fontId="3" fillId="4" borderId="45" xfId="0" applyNumberFormat="1" applyFont="1" applyFill="1" applyBorder="1" applyAlignment="1">
      <alignment horizontal="center" vertical="center" wrapText="1"/>
    </xf>
    <xf numFmtId="49" fontId="24" fillId="8" borderId="46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4" fontId="3" fillId="0" borderId="47" xfId="0" applyNumberFormat="1" applyFont="1" applyFill="1" applyBorder="1" applyAlignment="1">
      <alignment horizontal="center" vertical="center"/>
    </xf>
    <xf numFmtId="9" fontId="3" fillId="3" borderId="47" xfId="0" applyNumberFormat="1" applyFont="1" applyFill="1" applyBorder="1" applyAlignment="1">
      <alignment horizontal="center" vertical="center" wrapText="1"/>
    </xf>
    <xf numFmtId="4" fontId="3" fillId="0" borderId="47" xfId="0" applyNumberFormat="1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14" fontId="3" fillId="0" borderId="48" xfId="0" applyNumberFormat="1" applyFont="1" applyBorder="1" applyAlignment="1">
      <alignment horizontal="center" vertical="center" wrapText="1"/>
    </xf>
    <xf numFmtId="14" fontId="3" fillId="0" borderId="47" xfId="0" applyNumberFormat="1" applyFont="1" applyBorder="1" applyAlignment="1">
      <alignment horizontal="center" vertical="center" wrapText="1"/>
    </xf>
    <xf numFmtId="14" fontId="3" fillId="4" borderId="48" xfId="0" applyNumberFormat="1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49" fontId="24" fillId="8" borderId="49" xfId="0" applyNumberFormat="1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/>
    </xf>
    <xf numFmtId="9" fontId="3" fillId="3" borderId="50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14" fontId="3" fillId="0" borderId="51" xfId="0" applyNumberFormat="1" applyFont="1" applyBorder="1" applyAlignment="1">
      <alignment horizontal="center" vertical="center" wrapText="1"/>
    </xf>
    <xf numFmtId="14" fontId="3" fillId="0" borderId="50" xfId="0" applyNumberFormat="1" applyFont="1" applyBorder="1" applyAlignment="1">
      <alignment horizontal="center" vertical="center" wrapText="1"/>
    </xf>
    <xf numFmtId="14" fontId="3" fillId="4" borderId="51" xfId="0" applyNumberFormat="1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49" fontId="24" fillId="8" borderId="52" xfId="0" applyNumberFormat="1" applyFont="1" applyFill="1" applyBorder="1" applyAlignment="1">
      <alignment horizontal="center" vertical="center"/>
    </xf>
    <xf numFmtId="9" fontId="3" fillId="3" borderId="53" xfId="0" applyNumberFormat="1" applyFont="1" applyFill="1" applyBorder="1" applyAlignment="1">
      <alignment horizontal="center" vertical="center" wrapText="1"/>
    </xf>
    <xf numFmtId="4" fontId="3" fillId="0" borderId="53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14" fontId="3" fillId="0" borderId="53" xfId="0" applyNumberFormat="1" applyFont="1" applyBorder="1" applyAlignment="1">
      <alignment horizontal="center" vertical="center" wrapText="1"/>
    </xf>
    <xf numFmtId="14" fontId="3" fillId="0" borderId="54" xfId="0" applyNumberFormat="1" applyFont="1" applyBorder="1" applyAlignment="1">
      <alignment horizontal="center" vertical="center" wrapText="1"/>
    </xf>
    <xf numFmtId="14" fontId="3" fillId="4" borderId="54" xfId="0" applyNumberFormat="1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9" fontId="3" fillId="3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14" fontId="3" fillId="4" borderId="42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14" fontId="3" fillId="4" borderId="35" xfId="0" applyNumberFormat="1" applyFont="1" applyFill="1" applyBorder="1" applyAlignment="1">
      <alignment horizontal="center" vertical="center" wrapText="1"/>
    </xf>
    <xf numFmtId="4" fontId="23" fillId="0" borderId="35" xfId="3" applyNumberFormat="1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4" fontId="0" fillId="0" borderId="35" xfId="0" applyNumberFormat="1" applyFont="1" applyFill="1" applyBorder="1" applyAlignment="1">
      <alignment horizontal="center" vertical="center" wrapText="1"/>
    </xf>
    <xf numFmtId="9" fontId="3" fillId="0" borderId="35" xfId="0" applyNumberFormat="1" applyFont="1" applyFill="1" applyBorder="1" applyAlignment="1">
      <alignment horizontal="center" vertical="center" wrapText="1"/>
    </xf>
    <xf numFmtId="14" fontId="3" fillId="0" borderId="36" xfId="0" applyNumberFormat="1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4" fontId="26" fillId="0" borderId="35" xfId="0" applyNumberFormat="1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4" fontId="26" fillId="0" borderId="56" xfId="0" applyNumberFormat="1" applyFont="1" applyFill="1" applyBorder="1" applyAlignment="1">
      <alignment horizontal="center" vertical="center" wrapText="1"/>
    </xf>
    <xf numFmtId="4" fontId="3" fillId="3" borderId="56" xfId="0" applyNumberFormat="1" applyFont="1" applyFill="1" applyBorder="1" applyAlignment="1">
      <alignment horizontal="center" vertical="center" wrapText="1"/>
    </xf>
    <xf numFmtId="49" fontId="23" fillId="0" borderId="35" xfId="3" applyNumberFormat="1" applyFont="1" applyFill="1" applyBorder="1" applyAlignment="1" applyProtection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4" fontId="26" fillId="0" borderId="55" xfId="0" applyNumberFormat="1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4" fontId="0" fillId="0" borderId="55" xfId="0" applyNumberFormat="1" applyFont="1" applyFill="1" applyBorder="1" applyAlignment="1">
      <alignment horizontal="center" vertical="center" wrapText="1"/>
    </xf>
    <xf numFmtId="9" fontId="0" fillId="0" borderId="35" xfId="0" applyNumberFormat="1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4" fontId="0" fillId="0" borderId="35" xfId="0" applyNumberFormat="1" applyFont="1" applyFill="1" applyBorder="1" applyAlignment="1">
      <alignment horizontal="center" vertical="center"/>
    </xf>
    <xf numFmtId="4" fontId="0" fillId="9" borderId="35" xfId="0" applyNumberFormat="1" applyFont="1" applyFill="1" applyBorder="1" applyAlignment="1">
      <alignment horizontal="center" vertical="center" wrapText="1"/>
    </xf>
    <xf numFmtId="0" fontId="0" fillId="9" borderId="35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center" vertical="center" wrapText="1"/>
    </xf>
    <xf numFmtId="9" fontId="27" fillId="0" borderId="35" xfId="0" applyNumberFormat="1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center" vertical="center"/>
    </xf>
    <xf numFmtId="9" fontId="0" fillId="9" borderId="35" xfId="0" applyNumberFormat="1" applyFont="1" applyFill="1" applyBorder="1" applyAlignment="1">
      <alignment horizontal="center" vertical="center" wrapText="1"/>
    </xf>
    <xf numFmtId="4" fontId="0" fillId="9" borderId="35" xfId="0" applyNumberFormat="1" applyFont="1" applyFill="1" applyBorder="1" applyAlignment="1">
      <alignment horizontal="center" vertical="center"/>
    </xf>
    <xf numFmtId="14" fontId="3" fillId="0" borderId="35" xfId="0" applyNumberFormat="1" applyFont="1" applyBorder="1" applyAlignment="1">
      <alignment horizontal="center"/>
    </xf>
    <xf numFmtId="0" fontId="27" fillId="0" borderId="35" xfId="0" applyFont="1" applyFill="1" applyBorder="1" applyAlignment="1">
      <alignment horizontal="center" vertical="center" wrapText="1"/>
    </xf>
    <xf numFmtId="4" fontId="1" fillId="0" borderId="35" xfId="0" applyNumberFormat="1" applyFont="1" applyFill="1" applyBorder="1" applyAlignment="1">
      <alignment horizontal="center" vertical="center" wrapText="1"/>
    </xf>
    <xf numFmtId="14" fontId="0" fillId="0" borderId="35" xfId="0" applyNumberFormat="1" applyFont="1" applyFill="1" applyBorder="1" applyAlignment="1">
      <alignment horizontal="center" vertical="center" wrapText="1"/>
    </xf>
    <xf numFmtId="14" fontId="0" fillId="0" borderId="35" xfId="0" applyNumberFormat="1" applyFill="1" applyBorder="1" applyAlignment="1">
      <alignment horizontal="center" vertical="center" wrapText="1"/>
    </xf>
    <xf numFmtId="14" fontId="3" fillId="0" borderId="35" xfId="0" applyNumberFormat="1" applyFont="1" applyFill="1" applyBorder="1" applyAlignment="1">
      <alignment horizontal="center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9" fontId="3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4" fontId="0" fillId="0" borderId="23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 wrapText="1"/>
    </xf>
    <xf numFmtId="9" fontId="3" fillId="0" borderId="13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21" fillId="6" borderId="62" xfId="0" applyFont="1" applyFill="1" applyBorder="1" applyAlignment="1">
      <alignment vertical="center" wrapText="1"/>
    </xf>
    <xf numFmtId="0" fontId="16" fillId="6" borderId="62" xfId="0" applyFont="1" applyFill="1" applyBorder="1" applyAlignment="1">
      <alignment horizontal="center" vertical="center"/>
    </xf>
    <xf numFmtId="0" fontId="16" fillId="6" borderId="62" xfId="0" applyFont="1" applyFill="1" applyBorder="1" applyAlignment="1">
      <alignment horizontal="center" vertical="center" wrapText="1"/>
    </xf>
    <xf numFmtId="4" fontId="17" fillId="6" borderId="13" xfId="0" applyNumberFormat="1" applyFont="1" applyFill="1" applyBorder="1" applyAlignment="1">
      <alignment horizontal="center" vertical="center" wrapText="1"/>
    </xf>
    <xf numFmtId="9" fontId="17" fillId="6" borderId="13" xfId="0" applyNumberFormat="1" applyFont="1" applyFill="1" applyBorder="1" applyAlignment="1">
      <alignment horizontal="center" vertical="center" wrapText="1"/>
    </xf>
    <xf numFmtId="4" fontId="16" fillId="6" borderId="13" xfId="0" applyNumberFormat="1" applyFont="1" applyFill="1" applyBorder="1" applyAlignment="1">
      <alignment horizontal="center" vertical="center" wrapText="1"/>
    </xf>
    <xf numFmtId="4" fontId="21" fillId="6" borderId="13" xfId="0" applyNumberFormat="1" applyFont="1" applyFill="1" applyBorder="1" applyAlignment="1">
      <alignment vertical="center" wrapText="1"/>
    </xf>
    <xf numFmtId="9" fontId="21" fillId="6" borderId="14" xfId="0" applyNumberFormat="1" applyFont="1" applyFill="1" applyBorder="1" applyAlignment="1">
      <alignment horizontal="center" vertical="center" wrapText="1"/>
    </xf>
    <xf numFmtId="4" fontId="21" fillId="7" borderId="13" xfId="0" applyNumberFormat="1" applyFont="1" applyFill="1" applyBorder="1" applyAlignment="1">
      <alignment horizontal="center" vertical="center" wrapText="1"/>
    </xf>
    <xf numFmtId="3" fontId="21" fillId="6" borderId="13" xfId="0" applyNumberFormat="1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64" fontId="9" fillId="0" borderId="0" xfId="1" applyBorder="1"/>
    <xf numFmtId="4" fontId="16" fillId="6" borderId="55" xfId="0" applyNumberFormat="1" applyFont="1" applyFill="1" applyBorder="1" applyAlignment="1">
      <alignment horizontal="center" vertical="center" wrapText="1"/>
    </xf>
    <xf numFmtId="4" fontId="16" fillId="0" borderId="61" xfId="0" applyNumberFormat="1" applyFont="1" applyFill="1" applyBorder="1" applyAlignment="1">
      <alignment horizontal="center" vertical="center" wrapText="1"/>
    </xf>
    <xf numFmtId="0" fontId="1" fillId="6" borderId="62" xfId="0" applyFont="1" applyFill="1" applyBorder="1" applyAlignment="1">
      <alignment vertical="center" wrapText="1"/>
    </xf>
    <xf numFmtId="4" fontId="28" fillId="6" borderId="53" xfId="0" applyNumberFormat="1" applyFont="1" applyFill="1" applyBorder="1" applyAlignment="1">
      <alignment horizontal="center" vertical="center"/>
    </xf>
    <xf numFmtId="4" fontId="29" fillId="6" borderId="13" xfId="0" applyNumberFormat="1" applyFont="1" applyFill="1" applyBorder="1" applyAlignment="1">
      <alignment horizontal="center" vertical="center" wrapText="1"/>
    </xf>
    <xf numFmtId="9" fontId="29" fillId="6" borderId="13" xfId="0" applyNumberFormat="1" applyFont="1" applyFill="1" applyBorder="1" applyAlignment="1">
      <alignment horizontal="center" vertical="center" wrapText="1"/>
    </xf>
    <xf numFmtId="4" fontId="28" fillId="6" borderId="13" xfId="0" applyNumberFormat="1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4" fontId="0" fillId="0" borderId="53" xfId="0" applyNumberFormat="1" applyFont="1" applyFill="1" applyBorder="1" applyAlignment="1">
      <alignment horizontal="center" vertical="center" wrapText="1"/>
    </xf>
    <xf numFmtId="9" fontId="0" fillId="0" borderId="53" xfId="0" applyNumberFormat="1" applyFont="1" applyFill="1" applyBorder="1" applyAlignment="1">
      <alignment horizontal="center" vertical="center" wrapText="1"/>
    </xf>
    <xf numFmtId="4" fontId="0" fillId="0" borderId="5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 wrapText="1"/>
    </xf>
    <xf numFmtId="0" fontId="28" fillId="6" borderId="53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" fillId="3" borderId="6" xfId="0" applyFont="1" applyFill="1" applyBorder="1" applyAlignment="1">
      <alignment horizontal="center" vertical="center" wrapText="1"/>
    </xf>
    <xf numFmtId="14" fontId="3" fillId="4" borderId="53" xfId="0" applyNumberFormat="1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4" fontId="0" fillId="0" borderId="54" xfId="0" applyNumberFormat="1" applyFont="1" applyFill="1" applyBorder="1" applyAlignment="1">
      <alignment horizontal="center" vertical="center" wrapText="1"/>
    </xf>
    <xf numFmtId="9" fontId="31" fillId="0" borderId="53" xfId="311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/>
    </xf>
    <xf numFmtId="4" fontId="17" fillId="6" borderId="0" xfId="0" applyNumberFormat="1" applyFont="1" applyFill="1" applyBorder="1" applyAlignment="1">
      <alignment horizontal="center" vertical="center" wrapText="1"/>
    </xf>
    <xf numFmtId="9" fontId="17" fillId="6" borderId="0" xfId="0" applyNumberFormat="1" applyFont="1" applyFill="1" applyBorder="1" applyAlignment="1">
      <alignment horizontal="center" vertical="center" wrapText="1"/>
    </xf>
    <xf numFmtId="4" fontId="16" fillId="6" borderId="0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Border="1" applyAlignment="1">
      <alignment horizontal="center" vertical="center" wrapText="1"/>
    </xf>
    <xf numFmtId="4" fontId="17" fillId="6" borderId="53" xfId="0" applyNumberFormat="1" applyFont="1" applyFill="1" applyBorder="1" applyAlignment="1">
      <alignment horizontal="center" vertical="center" wrapText="1"/>
    </xf>
    <xf numFmtId="9" fontId="17" fillId="6" borderId="53" xfId="0" applyNumberFormat="1" applyFont="1" applyFill="1" applyBorder="1" applyAlignment="1">
      <alignment horizontal="center" vertical="center" wrapText="1"/>
    </xf>
    <xf numFmtId="4" fontId="16" fillId="6" borderId="53" xfId="0" applyNumberFormat="1" applyFont="1" applyFill="1" applyBorder="1" applyAlignment="1">
      <alignment horizontal="center" vertical="center" wrapText="1"/>
    </xf>
    <xf numFmtId="0" fontId="0" fillId="9" borderId="53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/>
    </xf>
    <xf numFmtId="4" fontId="0" fillId="9" borderId="53" xfId="0" applyNumberFormat="1" applyFont="1" applyFill="1" applyBorder="1" applyAlignment="1">
      <alignment horizontal="center" vertical="center" wrapText="1"/>
    </xf>
    <xf numFmtId="9" fontId="31" fillId="9" borderId="53" xfId="311" applyFont="1" applyFill="1" applyBorder="1" applyAlignment="1">
      <alignment horizontal="center" vertical="center"/>
    </xf>
    <xf numFmtId="0" fontId="0" fillId="9" borderId="0" xfId="0" applyFont="1" applyFill="1"/>
    <xf numFmtId="3" fontId="1" fillId="9" borderId="0" xfId="0" applyNumberFormat="1" applyFont="1" applyFill="1" applyBorder="1" applyAlignment="1">
      <alignment horizontal="center" vertical="center" wrapText="1"/>
    </xf>
    <xf numFmtId="0" fontId="0" fillId="9" borderId="0" xfId="0" applyFont="1" applyFill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54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9" fontId="0" fillId="0" borderId="35" xfId="0" applyNumberFormat="1" applyFont="1" applyBorder="1" applyAlignment="1">
      <alignment horizontal="center" vertical="center"/>
    </xf>
    <xf numFmtId="4" fontId="0" fillId="9" borderId="0" xfId="0" applyNumberFormat="1" applyFont="1" applyFill="1" applyBorder="1" applyAlignment="1">
      <alignment horizontal="center" vertical="center"/>
    </xf>
    <xf numFmtId="0" fontId="3" fillId="10" borderId="53" xfId="0" applyFont="1" applyFill="1" applyBorder="1" applyAlignment="1">
      <alignment horizontal="center" vertical="center" wrapText="1"/>
    </xf>
    <xf numFmtId="4" fontId="1" fillId="10" borderId="54" xfId="0" applyNumberFormat="1" applyFont="1" applyFill="1" applyBorder="1" applyAlignment="1">
      <alignment horizontal="center" vertical="center" wrapText="1"/>
    </xf>
    <xf numFmtId="4" fontId="0" fillId="10" borderId="54" xfId="0" applyNumberFormat="1" applyFont="1" applyFill="1" applyBorder="1" applyAlignment="1">
      <alignment horizontal="center" vertical="center" wrapText="1"/>
    </xf>
    <xf numFmtId="9" fontId="31" fillId="10" borderId="53" xfId="311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 wrapText="1"/>
    </xf>
    <xf numFmtId="0" fontId="0" fillId="10" borderId="35" xfId="0" applyFont="1" applyFill="1" applyBorder="1" applyAlignment="1">
      <alignment horizontal="center" vertical="center" wrapText="1"/>
    </xf>
    <xf numFmtId="14" fontId="0" fillId="10" borderId="35" xfId="0" applyNumberFormat="1" applyFont="1" applyFill="1" applyBorder="1" applyAlignment="1">
      <alignment horizontal="center" vertical="center" wrapText="1"/>
    </xf>
    <xf numFmtId="14" fontId="0" fillId="10" borderId="53" xfId="0" applyNumberFormat="1" applyFont="1" applyFill="1" applyBorder="1" applyAlignment="1">
      <alignment horizontal="center" vertical="center" wrapText="1"/>
    </xf>
    <xf numFmtId="0" fontId="0" fillId="10" borderId="53" xfId="0" applyFont="1" applyFill="1" applyBorder="1" applyAlignment="1">
      <alignment horizontal="center" vertical="center" wrapText="1"/>
    </xf>
    <xf numFmtId="0" fontId="3" fillId="10" borderId="56" xfId="0" applyFont="1" applyFill="1" applyBorder="1" applyAlignment="1">
      <alignment horizontal="center" vertical="center" wrapText="1"/>
    </xf>
    <xf numFmtId="4" fontId="1" fillId="10" borderId="53" xfId="0" applyNumberFormat="1" applyFont="1" applyFill="1" applyBorder="1" applyAlignment="1">
      <alignment horizontal="center" vertical="center" wrapText="1"/>
    </xf>
    <xf numFmtId="4" fontId="0" fillId="10" borderId="53" xfId="0" applyNumberFormat="1" applyFont="1" applyFill="1" applyBorder="1" applyAlignment="1">
      <alignment horizontal="center" vertical="center" wrapText="1"/>
    </xf>
    <xf numFmtId="4" fontId="0" fillId="10" borderId="60" xfId="0" applyNumberFormat="1" applyFont="1" applyFill="1" applyBorder="1" applyAlignment="1">
      <alignment horizontal="center" vertical="center" wrapText="1"/>
    </xf>
    <xf numFmtId="0" fontId="0" fillId="10" borderId="53" xfId="0" applyFont="1" applyFill="1" applyBorder="1" applyAlignment="1">
      <alignment horizontal="left" vertical="center" wrapText="1"/>
    </xf>
    <xf numFmtId="0" fontId="0" fillId="10" borderId="0" xfId="0" applyFont="1" applyFill="1" applyBorder="1" applyAlignment="1">
      <alignment horizontal="center" vertical="center" wrapText="1"/>
    </xf>
    <xf numFmtId="14" fontId="3" fillId="0" borderId="5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3" borderId="20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57" xfId="0" applyFont="1" applyFill="1" applyBorder="1" applyAlignment="1">
      <alignment vertical="center" wrapText="1"/>
    </xf>
    <xf numFmtId="0" fontId="0" fillId="10" borderId="12" xfId="0" applyFont="1" applyFill="1" applyBorder="1" applyAlignment="1">
      <alignment horizontal="center" vertical="center" wrapText="1"/>
    </xf>
    <xf numFmtId="4" fontId="1" fillId="10" borderId="60" xfId="0" applyNumberFormat="1" applyFont="1" applyFill="1" applyBorder="1" applyAlignment="1">
      <alignment horizontal="center" vertical="center" wrapText="1"/>
    </xf>
    <xf numFmtId="9" fontId="31" fillId="10" borderId="56" xfId="311" applyFont="1" applyFill="1" applyBorder="1" applyAlignment="1">
      <alignment horizontal="center" vertical="center"/>
    </xf>
    <xf numFmtId="4" fontId="0" fillId="10" borderId="56" xfId="0" applyNumberFormat="1" applyFont="1" applyFill="1" applyBorder="1" applyAlignment="1">
      <alignment horizontal="center" vertical="center" wrapText="1"/>
    </xf>
    <xf numFmtId="4" fontId="29" fillId="7" borderId="53" xfId="0" applyNumberFormat="1" applyFont="1" applyFill="1" applyBorder="1" applyAlignment="1">
      <alignment horizontal="center" vertical="center" wrapText="1"/>
    </xf>
    <xf numFmtId="9" fontId="29" fillId="7" borderId="53" xfId="0" applyNumberFormat="1" applyFont="1" applyFill="1" applyBorder="1" applyAlignment="1">
      <alignment horizontal="center" vertical="center" wrapText="1"/>
    </xf>
    <xf numFmtId="4" fontId="28" fillId="7" borderId="53" xfId="0" applyNumberFormat="1" applyFont="1" applyFill="1" applyBorder="1" applyAlignment="1">
      <alignment horizontal="center" vertical="center" wrapText="1"/>
    </xf>
    <xf numFmtId="0" fontId="0" fillId="10" borderId="35" xfId="0" applyFont="1" applyFill="1" applyBorder="1" applyAlignment="1">
      <alignment horizontal="center" vertical="center"/>
    </xf>
    <xf numFmtId="4" fontId="1" fillId="10" borderId="35" xfId="0" applyNumberFormat="1" applyFont="1" applyFill="1" applyBorder="1" applyAlignment="1">
      <alignment horizontal="center" vertical="center" wrapText="1"/>
    </xf>
    <xf numFmtId="4" fontId="0" fillId="10" borderId="35" xfId="0" applyNumberFormat="1" applyFont="1" applyFill="1" applyBorder="1" applyAlignment="1">
      <alignment horizontal="center" vertical="center" wrapText="1"/>
    </xf>
    <xf numFmtId="9" fontId="0" fillId="10" borderId="35" xfId="0" applyNumberFormat="1" applyFont="1" applyFill="1" applyBorder="1" applyAlignment="1">
      <alignment horizontal="center" vertical="center" wrapText="1"/>
    </xf>
    <xf numFmtId="4" fontId="0" fillId="10" borderId="35" xfId="0" applyNumberFormat="1" applyFont="1" applyFill="1" applyBorder="1" applyAlignment="1">
      <alignment horizontal="center" vertical="center"/>
    </xf>
    <xf numFmtId="14" fontId="0" fillId="0" borderId="11" xfId="0" applyNumberFormat="1" applyFont="1" applyFill="1" applyBorder="1" applyAlignment="1">
      <alignment horizontal="center" vertical="center" wrapText="1"/>
    </xf>
    <xf numFmtId="4" fontId="3" fillId="0" borderId="53" xfId="0" applyNumberFormat="1" applyFont="1" applyFill="1" applyBorder="1" applyAlignment="1">
      <alignment horizontal="center" vertical="center"/>
    </xf>
    <xf numFmtId="14" fontId="0" fillId="0" borderId="53" xfId="0" applyNumberFormat="1" applyFont="1" applyFill="1" applyBorder="1" applyAlignment="1">
      <alignment horizontal="center" vertical="center" wrapText="1"/>
    </xf>
    <xf numFmtId="9" fontId="3" fillId="0" borderId="53" xfId="0" applyNumberFormat="1" applyFont="1" applyBorder="1" applyAlignment="1">
      <alignment horizontal="center" vertical="center" wrapText="1"/>
    </xf>
    <xf numFmtId="0" fontId="1" fillId="7" borderId="53" xfId="0" applyFont="1" applyFill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9" fontId="3" fillId="0" borderId="53" xfId="0" applyNumberFormat="1" applyFont="1" applyFill="1" applyBorder="1" applyAlignment="1">
      <alignment horizontal="center" vertical="center" wrapText="1"/>
    </xf>
    <xf numFmtId="7" fontId="0" fillId="0" borderId="53" xfId="0" applyNumberFormat="1" applyFont="1" applyBorder="1" applyAlignment="1">
      <alignment horizontal="center" vertical="center"/>
    </xf>
    <xf numFmtId="167" fontId="0" fillId="12" borderId="53" xfId="0" applyNumberFormat="1" applyFont="1" applyFill="1" applyBorder="1" applyAlignment="1">
      <alignment horizontal="center" vertical="center" wrapText="1"/>
    </xf>
    <xf numFmtId="9" fontId="7" fillId="6" borderId="53" xfId="0" applyNumberFormat="1" applyFont="1" applyFill="1" applyBorder="1" applyAlignment="1">
      <alignment horizontal="center" vertical="center" wrapText="1"/>
    </xf>
    <xf numFmtId="4" fontId="0" fillId="0" borderId="53" xfId="0" applyNumberFormat="1" applyFont="1" applyFill="1" applyBorder="1" applyAlignment="1">
      <alignment horizontal="right" vertical="center"/>
    </xf>
    <xf numFmtId="0" fontId="0" fillId="6" borderId="35" xfId="0" applyFont="1" applyFill="1" applyBorder="1" applyAlignment="1">
      <alignment horizontal="center" vertical="center" wrapText="1"/>
    </xf>
    <xf numFmtId="0" fontId="0" fillId="6" borderId="53" xfId="0" applyFont="1" applyFill="1" applyBorder="1" applyAlignment="1">
      <alignment horizontal="center" vertical="center" wrapText="1"/>
    </xf>
    <xf numFmtId="0" fontId="0" fillId="7" borderId="53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13" borderId="53" xfId="0" applyFont="1" applyFill="1" applyBorder="1" applyAlignment="1">
      <alignment horizontal="left" vertical="center" wrapText="1"/>
    </xf>
    <xf numFmtId="167" fontId="32" fillId="13" borderId="53" xfId="0" applyNumberFormat="1" applyFont="1" applyFill="1" applyBorder="1" applyAlignment="1">
      <alignment horizontal="center" vertical="center"/>
    </xf>
    <xf numFmtId="4" fontId="3" fillId="13" borderId="53" xfId="0" applyNumberFormat="1" applyFont="1" applyFill="1" applyBorder="1" applyAlignment="1">
      <alignment horizontal="center" vertical="center"/>
    </xf>
    <xf numFmtId="9" fontId="3" fillId="13" borderId="53" xfId="0" applyNumberFormat="1" applyFont="1" applyFill="1" applyBorder="1" applyAlignment="1">
      <alignment horizontal="center" vertical="center" wrapText="1"/>
    </xf>
    <xf numFmtId="4" fontId="3" fillId="13" borderId="53" xfId="0" applyNumberFormat="1" applyFont="1" applyFill="1" applyBorder="1" applyAlignment="1">
      <alignment horizontal="center" vertical="center" wrapText="1"/>
    </xf>
    <xf numFmtId="4" fontId="0" fillId="13" borderId="53" xfId="0" applyNumberFormat="1" applyFont="1" applyFill="1" applyBorder="1" applyAlignment="1">
      <alignment horizontal="center" vertical="center" wrapText="1"/>
    </xf>
    <xf numFmtId="14" fontId="3" fillId="13" borderId="53" xfId="0" applyNumberFormat="1" applyFont="1" applyFill="1" applyBorder="1" applyAlignment="1">
      <alignment horizontal="center" vertical="center" wrapText="1"/>
    </xf>
    <xf numFmtId="14" fontId="0" fillId="13" borderId="53" xfId="0" applyNumberFormat="1" applyFont="1" applyFill="1" applyBorder="1" applyAlignment="1">
      <alignment horizontal="center" vertical="center" wrapText="1"/>
    </xf>
    <xf numFmtId="0" fontId="0" fillId="13" borderId="53" xfId="0" applyFont="1" applyFill="1" applyBorder="1" applyAlignment="1">
      <alignment horizontal="center" vertical="center" wrapText="1"/>
    </xf>
    <xf numFmtId="167" fontId="0" fillId="13" borderId="53" xfId="0" applyNumberFormat="1" applyFont="1" applyFill="1" applyBorder="1" applyAlignment="1">
      <alignment horizontal="center" vertical="center"/>
    </xf>
    <xf numFmtId="0" fontId="0" fillId="13" borderId="53" xfId="0" applyFill="1" applyBorder="1" applyAlignment="1">
      <alignment horizontal="left" vertical="center" wrapText="1"/>
    </xf>
    <xf numFmtId="4" fontId="8" fillId="6" borderId="13" xfId="0" applyNumberFormat="1" applyFont="1" applyFill="1" applyBorder="1" applyAlignment="1">
      <alignment horizontal="center" vertical="center" wrapText="1"/>
    </xf>
    <xf numFmtId="9" fontId="8" fillId="6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8" fillId="6" borderId="13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1" fillId="0" borderId="66" xfId="0" applyFont="1" applyFill="1" applyBorder="1" applyAlignment="1">
      <alignment horizontal="center" vertical="center" wrapText="1"/>
    </xf>
    <xf numFmtId="0" fontId="0" fillId="0" borderId="67" xfId="0" applyFont="1" applyBorder="1" applyAlignment="1">
      <alignment horizontal="left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14" fontId="27" fillId="4" borderId="53" xfId="0" applyNumberFormat="1" applyFont="1" applyFill="1" applyBorder="1" applyAlignment="1">
      <alignment horizontal="center" vertical="center" wrapText="1"/>
    </xf>
    <xf numFmtId="14" fontId="34" fillId="0" borderId="11" xfId="0" applyNumberFormat="1" applyFont="1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14" fontId="0" fillId="0" borderId="53" xfId="0" applyNumberFormat="1" applyFill="1" applyBorder="1" applyAlignment="1">
      <alignment horizontal="center" vertical="center" wrapText="1"/>
    </xf>
    <xf numFmtId="167" fontId="0" fillId="0" borderId="53" xfId="0" applyNumberFormat="1" applyFont="1" applyFill="1" applyBorder="1" applyAlignment="1">
      <alignment horizontal="center" vertical="center" wrapText="1"/>
    </xf>
    <xf numFmtId="167" fontId="0" fillId="0" borderId="53" xfId="0" applyNumberFormat="1" applyFill="1" applyBorder="1" applyAlignment="1">
      <alignment horizontal="center" vertical="center" wrapText="1"/>
    </xf>
    <xf numFmtId="167" fontId="0" fillId="0" borderId="0" xfId="0" applyNumberFormat="1" applyFont="1" applyFill="1" applyAlignment="1">
      <alignment horizontal="center" vertical="center" wrapText="1"/>
    </xf>
    <xf numFmtId="14" fontId="0" fillId="12" borderId="53" xfId="0" applyNumberFormat="1" applyFont="1" applyFill="1" applyBorder="1" applyAlignment="1">
      <alignment horizontal="center" vertical="center" wrapText="1"/>
    </xf>
    <xf numFmtId="9" fontId="3" fillId="6" borderId="53" xfId="0" applyNumberFormat="1" applyFont="1" applyFill="1" applyBorder="1" applyAlignment="1">
      <alignment horizontal="center" vertical="center" wrapText="1"/>
    </xf>
    <xf numFmtId="4" fontId="3" fillId="9" borderId="11" xfId="0" applyNumberFormat="1" applyFont="1" applyFill="1" applyBorder="1" applyAlignment="1">
      <alignment horizontal="center" vertical="center" wrapText="1"/>
    </xf>
    <xf numFmtId="4" fontId="3" fillId="9" borderId="11" xfId="0" applyNumberFormat="1" applyFont="1" applyFill="1" applyBorder="1" applyAlignment="1">
      <alignment horizontal="center" vertical="center"/>
    </xf>
    <xf numFmtId="9" fontId="3" fillId="9" borderId="53" xfId="0" applyNumberFormat="1" applyFont="1" applyFill="1" applyBorder="1" applyAlignment="1">
      <alignment horizontal="center" vertical="center" wrapText="1"/>
    </xf>
    <xf numFmtId="4" fontId="3" fillId="9" borderId="53" xfId="0" applyNumberFormat="1" applyFont="1" applyFill="1" applyBorder="1" applyAlignment="1">
      <alignment horizontal="center" vertical="center" wrapText="1"/>
    </xf>
    <xf numFmtId="14" fontId="3" fillId="9" borderId="53" xfId="0" applyNumberFormat="1" applyFont="1" applyFill="1" applyBorder="1" applyAlignment="1">
      <alignment horizontal="center" vertical="center" wrapText="1"/>
    </xf>
    <xf numFmtId="14" fontId="0" fillId="9" borderId="11" xfId="0" applyNumberFormat="1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4" fontId="8" fillId="6" borderId="44" xfId="0" applyNumberFormat="1" applyFont="1" applyFill="1" applyBorder="1" applyAlignment="1">
      <alignment vertical="center" wrapText="1"/>
    </xf>
    <xf numFmtId="4" fontId="3" fillId="0" borderId="0" xfId="0" applyNumberFormat="1" applyFont="1"/>
    <xf numFmtId="4" fontId="3" fillId="0" borderId="0" xfId="0" applyNumberFormat="1" applyFont="1" applyFill="1"/>
    <xf numFmtId="0" fontId="26" fillId="0" borderId="53" xfId="0" applyFont="1" applyFill="1" applyBorder="1" applyAlignment="1">
      <alignment horizontal="center" vertical="center"/>
    </xf>
    <xf numFmtId="167" fontId="26" fillId="0" borderId="53" xfId="0" applyNumberFormat="1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0" fontId="26" fillId="0" borderId="50" xfId="0" applyFont="1" applyFill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/>
    </xf>
    <xf numFmtId="0" fontId="26" fillId="13" borderId="53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6" fillId="0" borderId="50" xfId="0" applyFont="1" applyFill="1" applyBorder="1" applyAlignment="1">
      <alignment horizontal="center" vertical="center"/>
    </xf>
    <xf numFmtId="164" fontId="35" fillId="0" borderId="0" xfId="1" applyFont="1" applyFill="1" applyBorder="1" applyAlignment="1">
      <alignment horizontal="center" vertical="center"/>
    </xf>
    <xf numFmtId="164" fontId="26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top"/>
    </xf>
    <xf numFmtId="4" fontId="4" fillId="5" borderId="16" xfId="0" applyNumberFormat="1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 wrapText="1"/>
    </xf>
    <xf numFmtId="0" fontId="35" fillId="2" borderId="53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53" xfId="312" applyFont="1" applyFill="1" applyBorder="1" applyAlignment="1">
      <alignment vertical="center" wrapText="1"/>
    </xf>
    <xf numFmtId="164" fontId="36" fillId="0" borderId="0" xfId="1" applyFont="1"/>
    <xf numFmtId="0" fontId="26" fillId="9" borderId="53" xfId="0" applyFont="1" applyFill="1" applyBorder="1" applyAlignment="1">
      <alignment horizontal="center" vertical="center"/>
    </xf>
    <xf numFmtId="4" fontId="3" fillId="9" borderId="53" xfId="0" applyNumberFormat="1" applyFont="1" applyFill="1" applyBorder="1" applyAlignment="1">
      <alignment horizontal="center" vertical="center"/>
    </xf>
    <xf numFmtId="4" fontId="3" fillId="9" borderId="0" xfId="0" applyNumberFormat="1" applyFont="1" applyFill="1"/>
    <xf numFmtId="167" fontId="0" fillId="0" borderId="53" xfId="0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center" vertical="center"/>
    </xf>
    <xf numFmtId="169" fontId="3" fillId="0" borderId="53" xfId="0" applyNumberFormat="1" applyFont="1" applyFill="1" applyBorder="1" applyAlignment="1">
      <alignment horizontal="center" vertical="center" wrapText="1"/>
    </xf>
    <xf numFmtId="169" fontId="0" fillId="0" borderId="6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7" fontId="0" fillId="0" borderId="0" xfId="0" applyNumberFormat="1" applyFont="1" applyFill="1" applyBorder="1" applyAlignment="1">
      <alignment horizontal="right" vertical="center"/>
    </xf>
    <xf numFmtId="10" fontId="0" fillId="0" borderId="0" xfId="0" applyNumberFormat="1" applyFont="1" applyFill="1" applyBorder="1" applyAlignment="1">
      <alignment horizontal="right" vertical="center"/>
    </xf>
    <xf numFmtId="168" fontId="0" fillId="0" borderId="0" xfId="0" applyNumberFormat="1" applyFont="1" applyFill="1" applyBorder="1" applyAlignment="1">
      <alignment horizontal="right" vertical="center"/>
    </xf>
    <xf numFmtId="10" fontId="3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/>
    <xf numFmtId="167" fontId="0" fillId="0" borderId="1" xfId="0" applyNumberFormat="1" applyFont="1" applyFill="1" applyBorder="1" applyAlignment="1">
      <alignment horizontal="center" vertical="center"/>
    </xf>
    <xf numFmtId="167" fontId="0" fillId="0" borderId="66" xfId="0" applyNumberFormat="1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vertical="center" wrapText="1"/>
    </xf>
    <xf numFmtId="0" fontId="26" fillId="0" borderId="53" xfId="0" applyFont="1" applyFill="1" applyBorder="1" applyAlignment="1">
      <alignment horizontal="center" vertical="center" wrapText="1"/>
    </xf>
    <xf numFmtId="4" fontId="0" fillId="0" borderId="44" xfId="0" applyNumberFormat="1" applyFont="1" applyFill="1" applyBorder="1" applyAlignment="1">
      <alignment horizontal="center" vertical="center" wrapText="1"/>
    </xf>
    <xf numFmtId="167" fontId="0" fillId="0" borderId="66" xfId="0" applyNumberFormat="1" applyFont="1" applyFill="1" applyBorder="1" applyAlignment="1">
      <alignment horizontal="center" vertical="center" wrapText="1"/>
    </xf>
    <xf numFmtId="4" fontId="0" fillId="0" borderId="66" xfId="0" applyNumberFormat="1" applyFont="1" applyFill="1" applyBorder="1" applyAlignment="1">
      <alignment horizontal="center" vertical="center" wrapText="1"/>
    </xf>
    <xf numFmtId="169" fontId="3" fillId="0" borderId="44" xfId="0" applyNumberFormat="1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3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53" xfId="312" applyFont="1" applyFill="1" applyBorder="1" applyAlignment="1">
      <alignment horizontal="center" vertical="center" wrapText="1"/>
    </xf>
    <xf numFmtId="164" fontId="36" fillId="0" borderId="0" xfId="1" applyFont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0" fillId="14" borderId="53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8" fillId="6" borderId="53" xfId="0" applyFont="1" applyFill="1" applyBorder="1" applyAlignment="1">
      <alignment horizontal="right" vertical="center" wrapText="1"/>
    </xf>
    <xf numFmtId="0" fontId="4" fillId="5" borderId="67" xfId="0" applyFont="1" applyFill="1" applyBorder="1" applyAlignment="1">
      <alignment horizontal="left" vertical="center"/>
    </xf>
    <xf numFmtId="0" fontId="4" fillId="5" borderId="65" xfId="0" applyFont="1" applyFill="1" applyBorder="1" applyAlignment="1">
      <alignment horizontal="left" vertical="center"/>
    </xf>
    <xf numFmtId="0" fontId="4" fillId="5" borderId="54" xfId="0" applyFont="1" applyFill="1" applyBorder="1" applyAlignment="1">
      <alignment horizontal="left" vertical="center"/>
    </xf>
    <xf numFmtId="0" fontId="28" fillId="7" borderId="5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28" fillId="7" borderId="50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28" fillId="7" borderId="67" xfId="0" applyFont="1" applyFill="1" applyBorder="1" applyAlignment="1">
      <alignment horizontal="center" vertical="center" wrapText="1"/>
    </xf>
    <xf numFmtId="0" fontId="28" fillId="7" borderId="6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64" xfId="0" applyFont="1" applyFill="1" applyBorder="1" applyAlignment="1">
      <alignment horizontal="center" vertical="center" wrapText="1"/>
    </xf>
    <xf numFmtId="0" fontId="28" fillId="7" borderId="54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2" fillId="5" borderId="55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0" fontId="12" fillId="5" borderId="5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30" fillId="0" borderId="55" xfId="0" applyFont="1" applyFill="1" applyBorder="1" applyAlignment="1">
      <alignment horizontal="center" vertical="center" wrapText="1"/>
    </xf>
    <xf numFmtId="0" fontId="30" fillId="0" borderId="62" xfId="0" applyFont="1" applyFill="1" applyBorder="1" applyAlignment="1">
      <alignment horizontal="center" vertical="center" wrapText="1"/>
    </xf>
  </cellXfs>
  <cellStyles count="313">
    <cellStyle name="Accent1" xfId="312" builtinId="29"/>
    <cellStyle name="Excel Built-in Normal" xfId="1"/>
    <cellStyle name="Excel Built-in Normal 2" xfId="3"/>
    <cellStyle name="Heading" xfId="4"/>
    <cellStyle name="Heading 2" xfId="9"/>
    <cellStyle name="Heading1" xfId="5"/>
    <cellStyle name="Heading1 2" xfId="10"/>
    <cellStyle name="Milliers 10" xfId="110"/>
    <cellStyle name="Milliers 10 2" xfId="191"/>
    <cellStyle name="Milliers 10 3" xfId="272"/>
    <cellStyle name="Milliers 11" xfId="305"/>
    <cellStyle name="Milliers 2" xfId="13"/>
    <cellStyle name="Milliers 2 10" xfId="79"/>
    <cellStyle name="Milliers 2 10 2" xfId="160"/>
    <cellStyle name="Milliers 2 10 3" xfId="241"/>
    <cellStyle name="Milliers 2 11" xfId="111"/>
    <cellStyle name="Milliers 2 11 2" xfId="192"/>
    <cellStyle name="Milliers 2 11 3" xfId="273"/>
    <cellStyle name="Milliers 2 12" xfId="112"/>
    <cellStyle name="Milliers 2 13" xfId="193"/>
    <cellStyle name="Milliers 2 14" xfId="274"/>
    <cellStyle name="Milliers 2 15" xfId="306"/>
    <cellStyle name="Milliers 2 16" xfId="31"/>
    <cellStyle name="Milliers 2 2" xfId="16"/>
    <cellStyle name="Milliers 2 2 10" xfId="276"/>
    <cellStyle name="Milliers 2 2 11" xfId="308"/>
    <cellStyle name="Milliers 2 2 12" xfId="33"/>
    <cellStyle name="Milliers 2 2 2" xfId="22"/>
    <cellStyle name="Milliers 2 2 2 2" xfId="56"/>
    <cellStyle name="Milliers 2 2 2 2 2" xfId="137"/>
    <cellStyle name="Milliers 2 2 2 2 3" xfId="218"/>
    <cellStyle name="Milliers 2 2 2 3" xfId="87"/>
    <cellStyle name="Milliers 2 2 2 3 2" xfId="168"/>
    <cellStyle name="Milliers 2 2 2 3 3" xfId="249"/>
    <cellStyle name="Milliers 2 2 2 4" xfId="120"/>
    <cellStyle name="Milliers 2 2 2 5" xfId="201"/>
    <cellStyle name="Milliers 2 2 2 6" xfId="282"/>
    <cellStyle name="Milliers 2 2 2 7" xfId="39"/>
    <cellStyle name="Milliers 2 2 3" xfId="28"/>
    <cellStyle name="Milliers 2 2 3 2" xfId="62"/>
    <cellStyle name="Milliers 2 2 3 2 2" xfId="143"/>
    <cellStyle name="Milliers 2 2 3 2 3" xfId="224"/>
    <cellStyle name="Milliers 2 2 3 3" xfId="93"/>
    <cellStyle name="Milliers 2 2 3 3 2" xfId="174"/>
    <cellStyle name="Milliers 2 2 3 3 3" xfId="255"/>
    <cellStyle name="Milliers 2 2 3 4" xfId="126"/>
    <cellStyle name="Milliers 2 2 3 5" xfId="207"/>
    <cellStyle name="Milliers 2 2 3 6" xfId="288"/>
    <cellStyle name="Milliers 2 2 3 7" xfId="45"/>
    <cellStyle name="Milliers 2 2 4" xfId="68"/>
    <cellStyle name="Milliers 2 2 4 2" xfId="99"/>
    <cellStyle name="Milliers 2 2 4 2 2" xfId="180"/>
    <cellStyle name="Milliers 2 2 4 2 3" xfId="261"/>
    <cellStyle name="Milliers 2 2 4 3" xfId="149"/>
    <cellStyle name="Milliers 2 2 4 4" xfId="230"/>
    <cellStyle name="Milliers 2 2 4 5" xfId="294"/>
    <cellStyle name="Milliers 2 2 5" xfId="76"/>
    <cellStyle name="Milliers 2 2 5 2" xfId="107"/>
    <cellStyle name="Milliers 2 2 5 2 2" xfId="188"/>
    <cellStyle name="Milliers 2 2 5 2 3" xfId="269"/>
    <cellStyle name="Milliers 2 2 5 3" xfId="157"/>
    <cellStyle name="Milliers 2 2 5 4" xfId="238"/>
    <cellStyle name="Milliers 2 2 5 5" xfId="302"/>
    <cellStyle name="Milliers 2 2 6" xfId="50"/>
    <cellStyle name="Milliers 2 2 6 2" xfId="131"/>
    <cellStyle name="Milliers 2 2 6 3" xfId="212"/>
    <cellStyle name="Milliers 2 2 7" xfId="81"/>
    <cellStyle name="Milliers 2 2 7 2" xfId="162"/>
    <cellStyle name="Milliers 2 2 7 3" xfId="243"/>
    <cellStyle name="Milliers 2 2 8" xfId="114"/>
    <cellStyle name="Milliers 2 2 9" xfId="195"/>
    <cellStyle name="Milliers 2 3" xfId="18"/>
    <cellStyle name="Milliers 2 3 10" xfId="278"/>
    <cellStyle name="Milliers 2 3 11" xfId="310"/>
    <cellStyle name="Milliers 2 3 12" xfId="35"/>
    <cellStyle name="Milliers 2 3 2" xfId="24"/>
    <cellStyle name="Milliers 2 3 2 2" xfId="58"/>
    <cellStyle name="Milliers 2 3 2 2 2" xfId="139"/>
    <cellStyle name="Milliers 2 3 2 2 3" xfId="220"/>
    <cellStyle name="Milliers 2 3 2 3" xfId="89"/>
    <cellStyle name="Milliers 2 3 2 3 2" xfId="170"/>
    <cellStyle name="Milliers 2 3 2 3 3" xfId="251"/>
    <cellStyle name="Milliers 2 3 2 4" xfId="122"/>
    <cellStyle name="Milliers 2 3 2 5" xfId="203"/>
    <cellStyle name="Milliers 2 3 2 6" xfId="284"/>
    <cellStyle name="Milliers 2 3 2 7" xfId="41"/>
    <cellStyle name="Milliers 2 3 3" xfId="30"/>
    <cellStyle name="Milliers 2 3 3 2" xfId="64"/>
    <cellStyle name="Milliers 2 3 3 2 2" xfId="145"/>
    <cellStyle name="Milliers 2 3 3 2 3" xfId="226"/>
    <cellStyle name="Milliers 2 3 3 3" xfId="95"/>
    <cellStyle name="Milliers 2 3 3 3 2" xfId="176"/>
    <cellStyle name="Milliers 2 3 3 3 3" xfId="257"/>
    <cellStyle name="Milliers 2 3 3 4" xfId="128"/>
    <cellStyle name="Milliers 2 3 3 5" xfId="209"/>
    <cellStyle name="Milliers 2 3 3 6" xfId="290"/>
    <cellStyle name="Milliers 2 3 3 7" xfId="47"/>
    <cellStyle name="Milliers 2 3 4" xfId="70"/>
    <cellStyle name="Milliers 2 3 4 2" xfId="101"/>
    <cellStyle name="Milliers 2 3 4 2 2" xfId="182"/>
    <cellStyle name="Milliers 2 3 4 2 3" xfId="263"/>
    <cellStyle name="Milliers 2 3 4 3" xfId="151"/>
    <cellStyle name="Milliers 2 3 4 4" xfId="232"/>
    <cellStyle name="Milliers 2 3 4 5" xfId="296"/>
    <cellStyle name="Milliers 2 3 5" xfId="78"/>
    <cellStyle name="Milliers 2 3 5 2" xfId="109"/>
    <cellStyle name="Milliers 2 3 5 2 2" xfId="190"/>
    <cellStyle name="Milliers 2 3 5 2 3" xfId="271"/>
    <cellStyle name="Milliers 2 3 5 3" xfId="159"/>
    <cellStyle name="Milliers 2 3 5 4" xfId="240"/>
    <cellStyle name="Milliers 2 3 5 5" xfId="304"/>
    <cellStyle name="Milliers 2 3 6" xfId="52"/>
    <cellStyle name="Milliers 2 3 6 2" xfId="133"/>
    <cellStyle name="Milliers 2 3 6 3" xfId="214"/>
    <cellStyle name="Milliers 2 3 7" xfId="83"/>
    <cellStyle name="Milliers 2 3 7 2" xfId="164"/>
    <cellStyle name="Milliers 2 3 7 3" xfId="245"/>
    <cellStyle name="Milliers 2 3 8" xfId="116"/>
    <cellStyle name="Milliers 2 3 9" xfId="197"/>
    <cellStyle name="Milliers 2 4" xfId="20"/>
    <cellStyle name="Milliers 2 4 2" xfId="54"/>
    <cellStyle name="Milliers 2 4 2 2" xfId="135"/>
    <cellStyle name="Milliers 2 4 2 3" xfId="216"/>
    <cellStyle name="Milliers 2 4 3" xfId="85"/>
    <cellStyle name="Milliers 2 4 3 2" xfId="166"/>
    <cellStyle name="Milliers 2 4 3 3" xfId="247"/>
    <cellStyle name="Milliers 2 4 4" xfId="118"/>
    <cellStyle name="Milliers 2 4 5" xfId="199"/>
    <cellStyle name="Milliers 2 4 6" xfId="280"/>
    <cellStyle name="Milliers 2 4 7" xfId="37"/>
    <cellStyle name="Milliers 2 5" xfId="26"/>
    <cellStyle name="Milliers 2 5 2" xfId="60"/>
    <cellStyle name="Milliers 2 5 2 2" xfId="141"/>
    <cellStyle name="Milliers 2 5 2 3" xfId="222"/>
    <cellStyle name="Milliers 2 5 3" xfId="91"/>
    <cellStyle name="Milliers 2 5 3 2" xfId="172"/>
    <cellStyle name="Milliers 2 5 3 3" xfId="253"/>
    <cellStyle name="Milliers 2 5 4" xfId="124"/>
    <cellStyle name="Milliers 2 5 5" xfId="205"/>
    <cellStyle name="Milliers 2 5 6" xfId="286"/>
    <cellStyle name="Milliers 2 5 7" xfId="43"/>
    <cellStyle name="Milliers 2 6" xfId="14"/>
    <cellStyle name="Milliers 2 6 2" xfId="97"/>
    <cellStyle name="Milliers 2 6 2 2" xfId="178"/>
    <cellStyle name="Milliers 2 6 2 3" xfId="259"/>
    <cellStyle name="Milliers 2 6 3" xfId="147"/>
    <cellStyle name="Milliers 2 6 4" xfId="228"/>
    <cellStyle name="Milliers 2 6 5" xfId="292"/>
    <cellStyle name="Milliers 2 6 6" xfId="66"/>
    <cellStyle name="Milliers 2 7" xfId="72"/>
    <cellStyle name="Milliers 2 7 2" xfId="103"/>
    <cellStyle name="Milliers 2 7 2 2" xfId="184"/>
    <cellStyle name="Milliers 2 7 2 3" xfId="265"/>
    <cellStyle name="Milliers 2 7 3" xfId="153"/>
    <cellStyle name="Milliers 2 7 4" xfId="234"/>
    <cellStyle name="Milliers 2 7 5" xfId="298"/>
    <cellStyle name="Milliers 2 8" xfId="74"/>
    <cellStyle name="Milliers 2 8 2" xfId="105"/>
    <cellStyle name="Milliers 2 8 2 2" xfId="186"/>
    <cellStyle name="Milliers 2 8 2 3" xfId="267"/>
    <cellStyle name="Milliers 2 8 3" xfId="155"/>
    <cellStyle name="Milliers 2 8 4" xfId="236"/>
    <cellStyle name="Milliers 2 8 5" xfId="300"/>
    <cellStyle name="Milliers 2 9" xfId="48"/>
    <cellStyle name="Milliers 2 9 2" xfId="129"/>
    <cellStyle name="Milliers 2 9 3" xfId="210"/>
    <cellStyle name="Milliers 3" xfId="15"/>
    <cellStyle name="Milliers 3 10" xfId="275"/>
    <cellStyle name="Milliers 3 11" xfId="307"/>
    <cellStyle name="Milliers 3 12" xfId="32"/>
    <cellStyle name="Milliers 3 2" xfId="21"/>
    <cellStyle name="Milliers 3 2 2" xfId="55"/>
    <cellStyle name="Milliers 3 2 2 2" xfId="136"/>
    <cellStyle name="Milliers 3 2 2 3" xfId="217"/>
    <cellStyle name="Milliers 3 2 3" xfId="86"/>
    <cellStyle name="Milliers 3 2 3 2" xfId="167"/>
    <cellStyle name="Milliers 3 2 3 3" xfId="248"/>
    <cellStyle name="Milliers 3 2 4" xfId="119"/>
    <cellStyle name="Milliers 3 2 5" xfId="200"/>
    <cellStyle name="Milliers 3 2 6" xfId="281"/>
    <cellStyle name="Milliers 3 2 7" xfId="38"/>
    <cellStyle name="Milliers 3 3" xfId="27"/>
    <cellStyle name="Milliers 3 3 2" xfId="61"/>
    <cellStyle name="Milliers 3 3 2 2" xfId="142"/>
    <cellStyle name="Milliers 3 3 2 3" xfId="223"/>
    <cellStyle name="Milliers 3 3 3" xfId="92"/>
    <cellStyle name="Milliers 3 3 3 2" xfId="173"/>
    <cellStyle name="Milliers 3 3 3 3" xfId="254"/>
    <cellStyle name="Milliers 3 3 4" xfId="125"/>
    <cellStyle name="Milliers 3 3 5" xfId="206"/>
    <cellStyle name="Milliers 3 3 6" xfId="287"/>
    <cellStyle name="Milliers 3 3 7" xfId="44"/>
    <cellStyle name="Milliers 3 4" xfId="67"/>
    <cellStyle name="Milliers 3 4 2" xfId="98"/>
    <cellStyle name="Milliers 3 4 2 2" xfId="179"/>
    <cellStyle name="Milliers 3 4 2 3" xfId="260"/>
    <cellStyle name="Milliers 3 4 3" xfId="148"/>
    <cellStyle name="Milliers 3 4 4" xfId="229"/>
    <cellStyle name="Milliers 3 4 5" xfId="293"/>
    <cellStyle name="Milliers 3 5" xfId="75"/>
    <cellStyle name="Milliers 3 5 2" xfId="106"/>
    <cellStyle name="Milliers 3 5 2 2" xfId="187"/>
    <cellStyle name="Milliers 3 5 2 3" xfId="268"/>
    <cellStyle name="Milliers 3 5 3" xfId="156"/>
    <cellStyle name="Milliers 3 5 4" xfId="237"/>
    <cellStyle name="Milliers 3 5 5" xfId="301"/>
    <cellStyle name="Milliers 3 6" xfId="49"/>
    <cellStyle name="Milliers 3 6 2" xfId="130"/>
    <cellStyle name="Milliers 3 6 3" xfId="211"/>
    <cellStyle name="Milliers 3 7" xfId="80"/>
    <cellStyle name="Milliers 3 7 2" xfId="161"/>
    <cellStyle name="Milliers 3 7 3" xfId="242"/>
    <cellStyle name="Milliers 3 8" xfId="113"/>
    <cellStyle name="Milliers 3 9" xfId="194"/>
    <cellStyle name="Milliers 4" xfId="17"/>
    <cellStyle name="Milliers 4 10" xfId="277"/>
    <cellStyle name="Milliers 4 11" xfId="309"/>
    <cellStyle name="Milliers 4 12" xfId="34"/>
    <cellStyle name="Milliers 4 2" xfId="23"/>
    <cellStyle name="Milliers 4 2 2" xfId="57"/>
    <cellStyle name="Milliers 4 2 2 2" xfId="138"/>
    <cellStyle name="Milliers 4 2 2 3" xfId="219"/>
    <cellStyle name="Milliers 4 2 3" xfId="88"/>
    <cellStyle name="Milliers 4 2 3 2" xfId="169"/>
    <cellStyle name="Milliers 4 2 3 3" xfId="250"/>
    <cellStyle name="Milliers 4 2 4" xfId="121"/>
    <cellStyle name="Milliers 4 2 5" xfId="202"/>
    <cellStyle name="Milliers 4 2 6" xfId="283"/>
    <cellStyle name="Milliers 4 2 7" xfId="40"/>
    <cellStyle name="Milliers 4 3" xfId="29"/>
    <cellStyle name="Milliers 4 3 2" xfId="63"/>
    <cellStyle name="Milliers 4 3 2 2" xfId="144"/>
    <cellStyle name="Milliers 4 3 2 3" xfId="225"/>
    <cellStyle name="Milliers 4 3 3" xfId="94"/>
    <cellStyle name="Milliers 4 3 3 2" xfId="175"/>
    <cellStyle name="Milliers 4 3 3 3" xfId="256"/>
    <cellStyle name="Milliers 4 3 4" xfId="127"/>
    <cellStyle name="Milliers 4 3 5" xfId="208"/>
    <cellStyle name="Milliers 4 3 6" xfId="289"/>
    <cellStyle name="Milliers 4 3 7" xfId="46"/>
    <cellStyle name="Milliers 4 4" xfId="69"/>
    <cellStyle name="Milliers 4 4 2" xfId="100"/>
    <cellStyle name="Milliers 4 4 2 2" xfId="181"/>
    <cellStyle name="Milliers 4 4 2 3" xfId="262"/>
    <cellStyle name="Milliers 4 4 3" xfId="150"/>
    <cellStyle name="Milliers 4 4 4" xfId="231"/>
    <cellStyle name="Milliers 4 4 5" xfId="295"/>
    <cellStyle name="Milliers 4 5" xfId="77"/>
    <cellStyle name="Milliers 4 5 2" xfId="108"/>
    <cellStyle name="Milliers 4 5 2 2" xfId="189"/>
    <cellStyle name="Milliers 4 5 2 3" xfId="270"/>
    <cellStyle name="Milliers 4 5 3" xfId="158"/>
    <cellStyle name="Milliers 4 5 4" xfId="239"/>
    <cellStyle name="Milliers 4 5 5" xfId="303"/>
    <cellStyle name="Milliers 4 6" xfId="51"/>
    <cellStyle name="Milliers 4 6 2" xfId="132"/>
    <cellStyle name="Milliers 4 6 3" xfId="213"/>
    <cellStyle name="Milliers 4 7" xfId="82"/>
    <cellStyle name="Milliers 4 7 2" xfId="163"/>
    <cellStyle name="Milliers 4 7 3" xfId="244"/>
    <cellStyle name="Milliers 4 8" xfId="115"/>
    <cellStyle name="Milliers 4 9" xfId="196"/>
    <cellStyle name="Milliers 5" xfId="19"/>
    <cellStyle name="Milliers 5 2" xfId="53"/>
    <cellStyle name="Milliers 5 2 2" xfId="134"/>
    <cellStyle name="Milliers 5 2 3" xfId="215"/>
    <cellStyle name="Milliers 5 3" xfId="84"/>
    <cellStyle name="Milliers 5 3 2" xfId="165"/>
    <cellStyle name="Milliers 5 3 3" xfId="246"/>
    <cellStyle name="Milliers 5 4" xfId="117"/>
    <cellStyle name="Milliers 5 5" xfId="198"/>
    <cellStyle name="Milliers 5 6" xfId="279"/>
    <cellStyle name="Milliers 5 7" xfId="36"/>
    <cellStyle name="Milliers 6" xfId="25"/>
    <cellStyle name="Milliers 6 2" xfId="59"/>
    <cellStyle name="Milliers 6 2 2" xfId="140"/>
    <cellStyle name="Milliers 6 2 3" xfId="221"/>
    <cellStyle name="Milliers 6 3" xfId="90"/>
    <cellStyle name="Milliers 6 3 2" xfId="171"/>
    <cellStyle name="Milliers 6 3 3" xfId="252"/>
    <cellStyle name="Milliers 6 4" xfId="123"/>
    <cellStyle name="Milliers 6 5" xfId="204"/>
    <cellStyle name="Milliers 6 6" xfId="285"/>
    <cellStyle name="Milliers 6 7" xfId="42"/>
    <cellStyle name="Milliers 7" xfId="65"/>
    <cellStyle name="Milliers 7 2" xfId="96"/>
    <cellStyle name="Milliers 7 2 2" xfId="177"/>
    <cellStyle name="Milliers 7 2 3" xfId="258"/>
    <cellStyle name="Milliers 7 3" xfId="146"/>
    <cellStyle name="Milliers 7 4" xfId="227"/>
    <cellStyle name="Milliers 7 5" xfId="291"/>
    <cellStyle name="Milliers 8" xfId="71"/>
    <cellStyle name="Milliers 8 2" xfId="102"/>
    <cellStyle name="Milliers 8 2 2" xfId="183"/>
    <cellStyle name="Milliers 8 2 3" xfId="264"/>
    <cellStyle name="Milliers 8 3" xfId="152"/>
    <cellStyle name="Milliers 8 4" xfId="233"/>
    <cellStyle name="Milliers 8 5" xfId="297"/>
    <cellStyle name="Milliers 9" xfId="73"/>
    <cellStyle name="Milliers 9 2" xfId="104"/>
    <cellStyle name="Milliers 9 2 2" xfId="185"/>
    <cellStyle name="Milliers 9 2 3" xfId="266"/>
    <cellStyle name="Milliers 9 3" xfId="154"/>
    <cellStyle name="Milliers 9 4" xfId="235"/>
    <cellStyle name="Milliers 9 5" xfId="299"/>
    <cellStyle name="Normal" xfId="0" builtinId="0"/>
    <cellStyle name="Normal 2" xfId="2"/>
    <cellStyle name="Normal 3" xfId="8"/>
    <cellStyle name="Pourcentage" xfId="311" builtinId="5"/>
    <cellStyle name="Result" xfId="6"/>
    <cellStyle name="Result 2" xfId="11"/>
    <cellStyle name="Result2" xfId="7"/>
    <cellStyle name="Result2 2" xfId="12"/>
  </cellStyles>
  <dxfs count="0"/>
  <tableStyles count="0" defaultTableStyle="TableStyleMedium2" defaultPivotStyle="PivotStyleLight16"/>
  <colors>
    <mruColors>
      <color rgb="FFFF66FF"/>
      <color rgb="FF498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2751845</xdr:colOff>
      <xdr:row>0</xdr:row>
      <xdr:rowOff>135272</xdr:rowOff>
    </xdr:from>
    <xdr:to>
      <xdr:col>16</xdr:col>
      <xdr:colOff>261737</xdr:colOff>
      <xdr:row>2</xdr:row>
      <xdr:rowOff>1311250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257" y="135272"/>
          <a:ext cx="15898745" cy="1556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1452562</xdr:colOff>
      <xdr:row>2</xdr:row>
      <xdr:rowOff>386004</xdr:rowOff>
    </xdr:from>
    <xdr:to>
      <xdr:col>8</xdr:col>
      <xdr:colOff>547649</xdr:colOff>
      <xdr:row>3</xdr:row>
      <xdr:rowOff>351585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2562" y="767004"/>
          <a:ext cx="14263650" cy="1299081"/>
        </a:xfrm>
        <a:prstGeom prst="rect">
          <a:avLst/>
        </a:prstGeom>
      </xdr:spPr>
    </xdr:pic>
    <xdr:clientData/>
  </xdr:twoCellAnchor>
  <xdr:twoCellAnchor editAs="oneCell">
    <xdr:from>
      <xdr:col>2</xdr:col>
      <xdr:colOff>2452687</xdr:colOff>
      <xdr:row>2</xdr:row>
      <xdr:rowOff>406214</xdr:rowOff>
    </xdr:from>
    <xdr:to>
      <xdr:col>3</xdr:col>
      <xdr:colOff>1243973</xdr:colOff>
      <xdr:row>3</xdr:row>
      <xdr:rowOff>350184</xdr:rowOff>
    </xdr:to>
    <xdr:pic>
      <xdr:nvPicPr>
        <xdr:cNvPr id="3" name="Image 2" descr="Bloc-marque_MEEM_CMJN_HD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787214"/>
          <a:ext cx="1767848" cy="1277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644387</xdr:colOff>
      <xdr:row>0</xdr:row>
      <xdr:rowOff>0</xdr:rowOff>
    </xdr:from>
    <xdr:to>
      <xdr:col>2</xdr:col>
      <xdr:colOff>594158</xdr:colOff>
      <xdr:row>4</xdr:row>
      <xdr:rowOff>72472</xdr:rowOff>
    </xdr:to>
    <xdr:pic>
      <xdr:nvPicPr>
        <xdr:cNvPr id="2" name="Image 12" descr="MartiniqueFE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112" y="0"/>
          <a:ext cx="1683321" cy="834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546238</xdr:colOff>
      <xdr:row>0</xdr:row>
      <xdr:rowOff>0</xdr:rowOff>
    </xdr:from>
    <xdr:to>
      <xdr:col>10</xdr:col>
      <xdr:colOff>201838</xdr:colOff>
      <xdr:row>4</xdr:row>
      <xdr:rowOff>171450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2713" y="0"/>
          <a:ext cx="20940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619125</xdr:colOff>
      <xdr:row>0</xdr:row>
      <xdr:rowOff>0</xdr:rowOff>
    </xdr:from>
    <xdr:to>
      <xdr:col>5</xdr:col>
      <xdr:colOff>695325</xdr:colOff>
      <xdr:row>5</xdr:row>
      <xdr:rowOff>0</xdr:rowOff>
    </xdr:to>
    <xdr:pic>
      <xdr:nvPicPr>
        <xdr:cNvPr id="4" name="Image 3" descr="CTM_logo_provisoi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0"/>
          <a:ext cx="383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644387</xdr:colOff>
      <xdr:row>0</xdr:row>
      <xdr:rowOff>0</xdr:rowOff>
    </xdr:from>
    <xdr:to>
      <xdr:col>2</xdr:col>
      <xdr:colOff>594158</xdr:colOff>
      <xdr:row>4</xdr:row>
      <xdr:rowOff>72472</xdr:rowOff>
    </xdr:to>
    <xdr:pic>
      <xdr:nvPicPr>
        <xdr:cNvPr id="2" name="Image 12" descr="MartiniqueFE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112" y="0"/>
          <a:ext cx="1683321" cy="834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546238</xdr:colOff>
      <xdr:row>0</xdr:row>
      <xdr:rowOff>0</xdr:rowOff>
    </xdr:from>
    <xdr:to>
      <xdr:col>10</xdr:col>
      <xdr:colOff>201838</xdr:colOff>
      <xdr:row>4</xdr:row>
      <xdr:rowOff>171450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2713" y="0"/>
          <a:ext cx="20940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619125</xdr:colOff>
      <xdr:row>0</xdr:row>
      <xdr:rowOff>0</xdr:rowOff>
    </xdr:from>
    <xdr:to>
      <xdr:col>5</xdr:col>
      <xdr:colOff>695325</xdr:colOff>
      <xdr:row>5</xdr:row>
      <xdr:rowOff>0</xdr:rowOff>
    </xdr:to>
    <xdr:pic>
      <xdr:nvPicPr>
        <xdr:cNvPr id="4" name="Image 3" descr="CTM_logo_provisoi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0"/>
          <a:ext cx="383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644387</xdr:colOff>
      <xdr:row>0</xdr:row>
      <xdr:rowOff>0</xdr:rowOff>
    </xdr:from>
    <xdr:to>
      <xdr:col>2</xdr:col>
      <xdr:colOff>621372</xdr:colOff>
      <xdr:row>4</xdr:row>
      <xdr:rowOff>72472</xdr:rowOff>
    </xdr:to>
    <xdr:pic>
      <xdr:nvPicPr>
        <xdr:cNvPr id="2" name="Image 12" descr="MartiniqueFE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112" y="0"/>
          <a:ext cx="1683321" cy="834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546238</xdr:colOff>
      <xdr:row>0</xdr:row>
      <xdr:rowOff>0</xdr:rowOff>
    </xdr:from>
    <xdr:to>
      <xdr:col>12</xdr:col>
      <xdr:colOff>800553</xdr:colOff>
      <xdr:row>4</xdr:row>
      <xdr:rowOff>171450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2713" y="0"/>
          <a:ext cx="20940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619125</xdr:colOff>
      <xdr:row>0</xdr:row>
      <xdr:rowOff>0</xdr:rowOff>
    </xdr:from>
    <xdr:to>
      <xdr:col>5</xdr:col>
      <xdr:colOff>695325</xdr:colOff>
      <xdr:row>5</xdr:row>
      <xdr:rowOff>0</xdr:rowOff>
    </xdr:to>
    <xdr:pic>
      <xdr:nvPicPr>
        <xdr:cNvPr id="4" name="Image 3" descr="CTM_logo_provisoi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0"/>
          <a:ext cx="38385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E/PILOTAGE/CTR-CPS%202014-2020/2019/Programmation%20janvier%202019/Tableau%20r&#233;capitulatif%20des%20dossiers%20&#224;%20examiner%20en%20%20CPE%20du%2023%20janvie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IER PLAT DOSSIERS PROGRAM"/>
      <sheetName val="CPE 23012019"/>
      <sheetName val="CPE 23 01 2018"/>
      <sheetName val="ITP 25012019 PROVISOIRE (3)"/>
      <sheetName val="ITP 25012019 DEFINITIF"/>
      <sheetName val="ITP 25012019 PROVISOIRE (2)"/>
      <sheetName val="CE 31012019"/>
      <sheetName val="Feuil2"/>
      <sheetName val="AP 15022019"/>
      <sheetName val="CE du 21022019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M25">
            <v>553.61</v>
          </cell>
          <cell r="N25">
            <v>553.61</v>
          </cell>
          <cell r="P25">
            <v>553.61</v>
          </cell>
          <cell r="Q25">
            <v>553.60986328125</v>
          </cell>
          <cell r="R25">
            <v>553.60986328125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121"/>
  <sheetViews>
    <sheetView topLeftCell="A73" zoomScale="85" zoomScaleNormal="85" workbookViewId="0">
      <selection activeCell="V32" sqref="V32"/>
    </sheetView>
  </sheetViews>
  <sheetFormatPr baseColWidth="10" defaultColWidth="11.42578125" defaultRowHeight="15"/>
  <cols>
    <col min="1" max="1" width="38.140625" style="441" customWidth="1"/>
    <col min="2" max="2" width="25" style="431" customWidth="1"/>
    <col min="3" max="3" width="63.42578125" style="7" customWidth="1"/>
    <col min="4" max="4" width="34.140625" style="7" customWidth="1"/>
    <col min="5" max="5" width="17.42578125" style="7" customWidth="1"/>
    <col min="6" max="6" width="17.7109375" style="7" customWidth="1"/>
    <col min="7" max="7" width="11.42578125" style="7" customWidth="1"/>
    <col min="8" max="8" width="16.5703125" style="7" customWidth="1"/>
    <col min="9" max="9" width="15.85546875" style="7" customWidth="1"/>
    <col min="10" max="10" width="14.140625" style="7" customWidth="1"/>
    <col min="11" max="11" width="14.7109375" style="7" customWidth="1"/>
    <col min="12" max="13" width="14.5703125" style="7" customWidth="1"/>
    <col min="14" max="14" width="16.28515625" style="7" customWidth="1"/>
    <col min="15" max="15" width="13.28515625" style="7" customWidth="1"/>
    <col min="16" max="16" width="11.5703125" style="7" customWidth="1"/>
    <col min="17" max="17" width="15.28515625" style="7" customWidth="1"/>
    <col min="18" max="18" width="12.7109375" style="7" customWidth="1"/>
    <col min="19" max="19" width="12.5703125" style="7" customWidth="1"/>
    <col min="20" max="20" width="19" style="7" customWidth="1"/>
    <col min="21" max="21" width="18.28515625" style="7" customWidth="1"/>
    <col min="22" max="22" width="38.7109375" style="7" customWidth="1"/>
    <col min="23" max="23" width="15.85546875" style="7" customWidth="1"/>
    <col min="24" max="16384" width="11.42578125" style="7"/>
  </cols>
  <sheetData>
    <row r="3" spans="1:24" ht="105.75" customHeight="1">
      <c r="P3" s="4"/>
    </row>
    <row r="6" spans="1:24" ht="30.75" customHeight="1">
      <c r="A6" s="478" t="s">
        <v>936</v>
      </c>
      <c r="B6" s="479"/>
      <c r="C6" s="479"/>
      <c r="D6" s="479"/>
      <c r="E6" s="479"/>
      <c r="F6" s="479"/>
      <c r="G6" s="480"/>
      <c r="H6" s="437">
        <f>H88</f>
        <v>2988120.64</v>
      </c>
      <c r="I6" s="34"/>
      <c r="J6" s="34"/>
      <c r="K6" s="34"/>
      <c r="L6" s="54"/>
      <c r="M6" s="5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4" ht="10.5" customHeight="1">
      <c r="A7" s="34"/>
      <c r="B7" s="432"/>
      <c r="C7" s="34"/>
      <c r="D7" s="34"/>
      <c r="E7" s="34"/>
      <c r="F7" s="34"/>
      <c r="G7" s="34"/>
      <c r="H7" s="436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4" ht="21" customHeight="1">
      <c r="A8" s="482" t="s">
        <v>45</v>
      </c>
      <c r="B8" s="482"/>
      <c r="C8" s="482"/>
      <c r="D8" s="482"/>
      <c r="E8" s="5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4" ht="12" customHeight="1">
      <c r="A9" s="8"/>
      <c r="B9" s="43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4" s="1" customFormat="1" ht="43.5" customHeight="1">
      <c r="A10" s="275" t="s">
        <v>0</v>
      </c>
      <c r="B10" s="439" t="s">
        <v>131</v>
      </c>
      <c r="C10" s="275" t="s">
        <v>1</v>
      </c>
      <c r="D10" s="275" t="s">
        <v>2</v>
      </c>
      <c r="E10" s="65" t="s">
        <v>579</v>
      </c>
      <c r="F10" s="65" t="s">
        <v>601</v>
      </c>
      <c r="G10" s="65" t="s">
        <v>51</v>
      </c>
      <c r="H10" s="65" t="s">
        <v>776</v>
      </c>
      <c r="I10" s="65" t="s">
        <v>302</v>
      </c>
      <c r="J10" s="65" t="s">
        <v>4</v>
      </c>
      <c r="K10" s="65" t="s">
        <v>6</v>
      </c>
      <c r="L10" s="65" t="s">
        <v>5</v>
      </c>
      <c r="M10" s="275" t="s">
        <v>929</v>
      </c>
      <c r="N10" s="65" t="s">
        <v>3</v>
      </c>
      <c r="O10" s="65" t="s">
        <v>866</v>
      </c>
      <c r="P10" s="65" t="s">
        <v>645</v>
      </c>
      <c r="Q10" s="65" t="s">
        <v>113</v>
      </c>
      <c r="R10" s="65" t="s">
        <v>114</v>
      </c>
      <c r="S10" s="65" t="s">
        <v>7</v>
      </c>
      <c r="T10" s="2" t="s">
        <v>157</v>
      </c>
      <c r="U10" s="2" t="s">
        <v>8</v>
      </c>
      <c r="V10" s="65" t="s">
        <v>117</v>
      </c>
      <c r="W10" s="65" t="s">
        <v>116</v>
      </c>
    </row>
    <row r="11" spans="1:24" s="14" customFormat="1" ht="35.25" customHeight="1">
      <c r="A11" s="484" t="s">
        <v>831</v>
      </c>
      <c r="B11" s="428"/>
      <c r="C11" s="286" t="s">
        <v>923</v>
      </c>
      <c r="D11" s="286" t="s">
        <v>833</v>
      </c>
      <c r="E11" s="44"/>
      <c r="F11" s="45">
        <f>H11+I11+J11+K11+L11+N11</f>
        <v>0</v>
      </c>
      <c r="G11" s="370" t="e">
        <f>(H11+I11+J11+K11+L11)/F11</f>
        <v>#DIV/0!</v>
      </c>
      <c r="H11" s="45">
        <v>0</v>
      </c>
      <c r="I11" s="45">
        <v>0</v>
      </c>
      <c r="J11" s="44">
        <v>0</v>
      </c>
      <c r="K11" s="44">
        <v>0</v>
      </c>
      <c r="L11" s="44">
        <v>0</v>
      </c>
      <c r="M11" s="174">
        <v>0</v>
      </c>
      <c r="N11" s="195">
        <v>0</v>
      </c>
      <c r="O11" s="350">
        <v>43255</v>
      </c>
      <c r="P11" s="367">
        <v>43263</v>
      </c>
      <c r="Q11" s="406" t="s">
        <v>922</v>
      </c>
      <c r="R11" s="228"/>
      <c r="S11" s="367"/>
      <c r="T11" s="230"/>
      <c r="U11" s="188"/>
      <c r="V11" s="188"/>
      <c r="W11" s="215"/>
      <c r="X11" s="15"/>
    </row>
    <row r="12" spans="1:24" s="14" customFormat="1" ht="35.25" customHeight="1">
      <c r="A12" s="484"/>
      <c r="B12" s="428" t="s">
        <v>858</v>
      </c>
      <c r="C12" s="286" t="s">
        <v>832</v>
      </c>
      <c r="D12" s="286" t="s">
        <v>745</v>
      </c>
      <c r="E12" s="174">
        <v>8074.75</v>
      </c>
      <c r="F12" s="45">
        <f>H12+I12+J12+K12+L12+N12</f>
        <v>8074.75</v>
      </c>
      <c r="G12" s="370">
        <f>(H12+I12+J12+K12+M12+L12)/F12</f>
        <v>0.8</v>
      </c>
      <c r="H12" s="368">
        <v>4844.8500000000004</v>
      </c>
      <c r="I12" s="368">
        <v>0</v>
      </c>
      <c r="J12" s="174">
        <v>1614.95</v>
      </c>
      <c r="K12" s="174">
        <v>0</v>
      </c>
      <c r="L12" s="174">
        <v>0</v>
      </c>
      <c r="M12" s="174">
        <v>0</v>
      </c>
      <c r="N12" s="287">
        <v>1614.95</v>
      </c>
      <c r="O12" s="350">
        <v>43224</v>
      </c>
      <c r="P12" s="369">
        <v>43235</v>
      </c>
      <c r="Q12" s="369">
        <v>43258</v>
      </c>
      <c r="R12" s="369"/>
      <c r="S12" s="369">
        <v>43271</v>
      </c>
      <c r="T12" s="299" t="s">
        <v>893</v>
      </c>
      <c r="U12" s="299"/>
      <c r="V12" s="299"/>
      <c r="W12" s="300"/>
      <c r="X12" s="422"/>
    </row>
    <row r="13" spans="1:24" s="1" customFormat="1" ht="19.5" customHeight="1">
      <c r="A13" s="481" t="s">
        <v>888</v>
      </c>
      <c r="B13" s="481"/>
      <c r="C13" s="481"/>
      <c r="D13" s="481"/>
      <c r="E13" s="361">
        <f>SUM(E11:E12)</f>
        <v>8074.75</v>
      </c>
      <c r="F13" s="361">
        <f>SUM(F11:F12)</f>
        <v>8074.75</v>
      </c>
      <c r="G13" s="377">
        <f t="shared" ref="G13:G19" si="0">(H13+I13+J13+K13+L13+M13)/F13</f>
        <v>0.8</v>
      </c>
      <c r="H13" s="361">
        <f>SUM(H11:H12)</f>
        <v>4844.8500000000004</v>
      </c>
      <c r="I13" s="361">
        <f t="shared" ref="I13:N13" si="1">SUM(I11:I12)</f>
        <v>0</v>
      </c>
      <c r="J13" s="361">
        <f t="shared" si="1"/>
        <v>1614.95</v>
      </c>
      <c r="K13" s="361">
        <f t="shared" si="1"/>
        <v>0</v>
      </c>
      <c r="L13" s="361">
        <f t="shared" si="1"/>
        <v>0</v>
      </c>
      <c r="M13" s="361">
        <f>SUM(M11:M12)</f>
        <v>0</v>
      </c>
      <c r="N13" s="361">
        <f t="shared" si="1"/>
        <v>1614.95</v>
      </c>
      <c r="O13" s="382"/>
      <c r="P13" s="326">
        <f>COUNTA(B11:B12)</f>
        <v>1</v>
      </c>
      <c r="Q13" s="379"/>
      <c r="R13" s="379"/>
      <c r="S13" s="379"/>
      <c r="T13" s="379"/>
      <c r="U13" s="327"/>
      <c r="V13" s="327"/>
      <c r="W13" s="327"/>
      <c r="X13" s="422"/>
    </row>
    <row r="14" spans="1:24" s="14" customFormat="1" ht="36" customHeight="1">
      <c r="A14" s="440" t="s">
        <v>859</v>
      </c>
      <c r="B14" s="428" t="s">
        <v>860</v>
      </c>
      <c r="C14" s="286" t="s">
        <v>861</v>
      </c>
      <c r="D14" s="286" t="s">
        <v>862</v>
      </c>
      <c r="E14" s="44">
        <v>25584</v>
      </c>
      <c r="F14" s="45">
        <f>H14+I14+J14+K14+L14+M14+N14</f>
        <v>25584</v>
      </c>
      <c r="G14" s="370">
        <f t="shared" si="0"/>
        <v>0.3</v>
      </c>
      <c r="H14" s="45">
        <v>3837.6</v>
      </c>
      <c r="I14" s="45">
        <v>3837.6</v>
      </c>
      <c r="J14" s="44">
        <v>0</v>
      </c>
      <c r="K14" s="44">
        <v>0</v>
      </c>
      <c r="L14" s="44">
        <v>0</v>
      </c>
      <c r="M14" s="174">
        <v>0</v>
      </c>
      <c r="N14" s="195">
        <v>17908.8</v>
      </c>
      <c r="O14" s="350">
        <v>43224</v>
      </c>
      <c r="P14" s="367">
        <v>43235</v>
      </c>
      <c r="Q14" s="367">
        <v>43258</v>
      </c>
      <c r="R14" s="228"/>
      <c r="S14" s="367">
        <v>43271</v>
      </c>
      <c r="T14" s="188" t="s">
        <v>894</v>
      </c>
      <c r="U14" s="188"/>
      <c r="V14" s="188"/>
      <c r="W14" s="215"/>
      <c r="X14" s="422"/>
    </row>
    <row r="15" spans="1:24" s="1" customFormat="1" ht="22.5" customHeight="1">
      <c r="A15" s="481" t="s">
        <v>863</v>
      </c>
      <c r="B15" s="481"/>
      <c r="C15" s="481"/>
      <c r="D15" s="481"/>
      <c r="E15" s="361">
        <f>SUM(E14)</f>
        <v>25584</v>
      </c>
      <c r="F15" s="361">
        <f>SUM(F14)</f>
        <v>25584</v>
      </c>
      <c r="G15" s="360">
        <f t="shared" si="0"/>
        <v>0.3</v>
      </c>
      <c r="H15" s="361">
        <f t="shared" ref="H15:N15" si="2">SUM(H14)</f>
        <v>3837.6</v>
      </c>
      <c r="I15" s="361">
        <f t="shared" si="2"/>
        <v>3837.6</v>
      </c>
      <c r="J15" s="361">
        <f t="shared" si="2"/>
        <v>0</v>
      </c>
      <c r="K15" s="361">
        <f t="shared" si="2"/>
        <v>0</v>
      </c>
      <c r="L15" s="361">
        <f t="shared" si="2"/>
        <v>0</v>
      </c>
      <c r="M15" s="361">
        <f>SUM(M14)</f>
        <v>0</v>
      </c>
      <c r="N15" s="361">
        <f t="shared" si="2"/>
        <v>17908.8</v>
      </c>
      <c r="O15" s="381"/>
      <c r="P15" s="326">
        <f>COUNTA(B14)</f>
        <v>1</v>
      </c>
      <c r="Q15" s="379"/>
      <c r="R15" s="379"/>
      <c r="S15" s="379"/>
      <c r="T15" s="379"/>
      <c r="U15" s="327"/>
      <c r="V15" s="327"/>
      <c r="W15" s="327"/>
      <c r="X15" s="422"/>
    </row>
    <row r="16" spans="1:24" s="373" customFormat="1" ht="38.1" customHeight="1">
      <c r="A16" s="442" t="s">
        <v>881</v>
      </c>
      <c r="B16" s="424" t="s">
        <v>882</v>
      </c>
      <c r="C16" s="286" t="s">
        <v>883</v>
      </c>
      <c r="D16" s="407" t="s">
        <v>889</v>
      </c>
      <c r="E16" s="287">
        <v>742728</v>
      </c>
      <c r="F16" s="287">
        <f>H16+I16+J16+K16+L16+M16+N16</f>
        <v>742728</v>
      </c>
      <c r="G16" s="374">
        <f t="shared" si="0"/>
        <v>1</v>
      </c>
      <c r="H16" s="287">
        <v>445636.8</v>
      </c>
      <c r="I16" s="287">
        <v>148545.60000000001</v>
      </c>
      <c r="J16" s="287">
        <v>0</v>
      </c>
      <c r="K16" s="287">
        <v>0</v>
      </c>
      <c r="L16" s="287">
        <v>0</v>
      </c>
      <c r="M16" s="287">
        <v>148545.60000000001</v>
      </c>
      <c r="N16" s="287">
        <v>0</v>
      </c>
      <c r="O16" s="369">
        <v>43342</v>
      </c>
      <c r="P16" s="369">
        <v>43378</v>
      </c>
      <c r="Q16" s="408">
        <v>43384</v>
      </c>
      <c r="R16" s="369">
        <v>43403</v>
      </c>
      <c r="S16" s="369">
        <v>43420</v>
      </c>
      <c r="T16" s="286" t="s">
        <v>924</v>
      </c>
      <c r="U16" s="286"/>
      <c r="V16" s="286" t="s">
        <v>925</v>
      </c>
      <c r="W16" s="286"/>
      <c r="X16" s="422"/>
    </row>
    <row r="17" spans="1:24" s="411" customFormat="1" ht="38.1" customHeight="1">
      <c r="A17" s="442" t="s">
        <v>881</v>
      </c>
      <c r="B17" s="425" t="s">
        <v>884</v>
      </c>
      <c r="C17" s="409" t="s">
        <v>885</v>
      </c>
      <c r="D17" s="410" t="s">
        <v>890</v>
      </c>
      <c r="E17" s="409">
        <v>1959256.55</v>
      </c>
      <c r="F17" s="287">
        <f t="shared" ref="F17:F18" si="3">H17+I17+J17+K17+L17+M17+N17</f>
        <v>1959256.55</v>
      </c>
      <c r="G17" s="374">
        <f t="shared" si="0"/>
        <v>1</v>
      </c>
      <c r="H17" s="409">
        <v>1175553.93</v>
      </c>
      <c r="I17" s="409">
        <v>391851.31</v>
      </c>
      <c r="J17" s="287">
        <v>0</v>
      </c>
      <c r="K17" s="287">
        <v>0</v>
      </c>
      <c r="L17" s="287">
        <v>0</v>
      </c>
      <c r="M17" s="287">
        <v>391851.31</v>
      </c>
      <c r="N17" s="409">
        <v>0</v>
      </c>
      <c r="O17" s="369">
        <v>43342</v>
      </c>
      <c r="P17" s="409">
        <v>43378</v>
      </c>
      <c r="Q17" s="408">
        <v>43384</v>
      </c>
      <c r="R17" s="369">
        <v>43403</v>
      </c>
      <c r="S17" s="369">
        <v>43420</v>
      </c>
      <c r="T17" s="376"/>
      <c r="U17" s="409"/>
      <c r="V17" s="409"/>
      <c r="W17" s="409"/>
      <c r="X17" s="422"/>
    </row>
    <row r="18" spans="1:24" s="411" customFormat="1" ht="38.1" customHeight="1">
      <c r="A18" s="442" t="s">
        <v>881</v>
      </c>
      <c r="B18" s="425" t="s">
        <v>927</v>
      </c>
      <c r="C18" s="409" t="s">
        <v>928</v>
      </c>
      <c r="D18" s="410" t="s">
        <v>890</v>
      </c>
      <c r="E18" s="409">
        <v>490622.35</v>
      </c>
      <c r="F18" s="287">
        <f t="shared" si="3"/>
        <v>490622.35</v>
      </c>
      <c r="G18" s="374">
        <f t="shared" si="0"/>
        <v>1</v>
      </c>
      <c r="H18" s="409">
        <v>294373.40999999997</v>
      </c>
      <c r="I18" s="409">
        <v>0</v>
      </c>
      <c r="J18" s="287">
        <v>98124.47</v>
      </c>
      <c r="K18" s="287">
        <v>0</v>
      </c>
      <c r="L18" s="287">
        <v>0</v>
      </c>
      <c r="M18" s="287">
        <v>98124.47</v>
      </c>
      <c r="N18" s="409">
        <v>0</v>
      </c>
      <c r="O18" s="369">
        <v>43342</v>
      </c>
      <c r="P18" s="369">
        <v>43434</v>
      </c>
      <c r="Q18" s="408">
        <v>43440</v>
      </c>
      <c r="R18" s="369">
        <v>43454</v>
      </c>
      <c r="S18" s="412"/>
      <c r="T18" s="409" t="s">
        <v>930</v>
      </c>
      <c r="U18" s="409"/>
      <c r="V18" s="409"/>
      <c r="W18" s="409"/>
      <c r="X18" s="422"/>
    </row>
    <row r="19" spans="1:24" s="1" customFormat="1" ht="22.5" customHeight="1">
      <c r="A19" s="488" t="s">
        <v>891</v>
      </c>
      <c r="B19" s="488"/>
      <c r="C19" s="488"/>
      <c r="D19" s="489"/>
      <c r="E19" s="361">
        <f>SUM(E16:E18)</f>
        <v>3192606.9</v>
      </c>
      <c r="F19" s="361">
        <f>SUM(F16:F18)</f>
        <v>3192606.9</v>
      </c>
      <c r="G19" s="360">
        <f t="shared" si="0"/>
        <v>1</v>
      </c>
      <c r="H19" s="361">
        <f t="shared" ref="H19:N19" si="4">SUM(H16:H18)</f>
        <v>1915564.14</v>
      </c>
      <c r="I19" s="361">
        <f t="shared" si="4"/>
        <v>540396.91</v>
      </c>
      <c r="J19" s="361">
        <f t="shared" si="4"/>
        <v>98124.47</v>
      </c>
      <c r="K19" s="361">
        <f t="shared" si="4"/>
        <v>0</v>
      </c>
      <c r="L19" s="361">
        <f t="shared" si="4"/>
        <v>0</v>
      </c>
      <c r="M19" s="361">
        <f t="shared" si="4"/>
        <v>638521.38</v>
      </c>
      <c r="N19" s="361">
        <f t="shared" si="4"/>
        <v>0</v>
      </c>
      <c r="O19" s="381"/>
      <c r="P19" s="371">
        <f>COUNTA(B16:B18)</f>
        <v>3</v>
      </c>
      <c r="Q19" s="380"/>
      <c r="R19" s="380"/>
      <c r="S19" s="380"/>
      <c r="T19" s="380"/>
      <c r="U19" s="372"/>
      <c r="V19" s="372"/>
      <c r="W19" s="372"/>
      <c r="X19" s="422"/>
    </row>
    <row r="20" spans="1:24" s="373" customFormat="1" ht="35.25" customHeight="1">
      <c r="A20" s="400" t="s">
        <v>868</v>
      </c>
      <c r="B20" s="426" t="s">
        <v>869</v>
      </c>
      <c r="C20" s="401" t="s">
        <v>870</v>
      </c>
      <c r="D20" s="402" t="s">
        <v>871</v>
      </c>
      <c r="E20" s="287">
        <v>86187.56</v>
      </c>
      <c r="F20" s="287">
        <f>H20+I20+J20+K20+L20+M20+N20</f>
        <v>85943.56</v>
      </c>
      <c r="G20" s="374">
        <f>(H20+I20+J20+K20+L20)/F20</f>
        <v>0.80000002327108632</v>
      </c>
      <c r="H20" s="287">
        <v>51566.14</v>
      </c>
      <c r="I20" s="287">
        <v>17188.71</v>
      </c>
      <c r="J20" s="287">
        <v>0</v>
      </c>
      <c r="K20" s="287">
        <v>0</v>
      </c>
      <c r="L20" s="287">
        <v>0</v>
      </c>
      <c r="M20" s="287">
        <v>0</v>
      </c>
      <c r="N20" s="287">
        <v>17188.71</v>
      </c>
      <c r="O20" s="286"/>
      <c r="P20" s="369">
        <v>43287</v>
      </c>
      <c r="Q20" s="369">
        <v>43321</v>
      </c>
      <c r="R20" s="369">
        <v>43364</v>
      </c>
      <c r="S20" s="369">
        <v>43399</v>
      </c>
      <c r="T20" s="286" t="s">
        <v>931</v>
      </c>
      <c r="U20" s="286"/>
      <c r="V20" s="286"/>
      <c r="W20" s="286"/>
      <c r="X20" s="422"/>
    </row>
    <row r="21" spans="1:24" s="1" customFormat="1" ht="22.5" customHeight="1">
      <c r="A21" s="485" t="s">
        <v>887</v>
      </c>
      <c r="B21" s="486"/>
      <c r="C21" s="486"/>
      <c r="D21" s="487"/>
      <c r="E21" s="361">
        <f>SUM(E20)</f>
        <v>86187.56</v>
      </c>
      <c r="F21" s="361">
        <f>SUM(F20)</f>
        <v>85943.56</v>
      </c>
      <c r="G21" s="360">
        <f>(H21+I21+J21+K21+L21+M21)/F21</f>
        <v>0.80000002327108632</v>
      </c>
      <c r="H21" s="361">
        <f t="shared" ref="H21:N21" si="5">SUM(H20)</f>
        <v>51566.14</v>
      </c>
      <c r="I21" s="361">
        <f t="shared" si="5"/>
        <v>17188.71</v>
      </c>
      <c r="J21" s="361">
        <f t="shared" si="5"/>
        <v>0</v>
      </c>
      <c r="K21" s="361">
        <f t="shared" si="5"/>
        <v>0</v>
      </c>
      <c r="L21" s="361">
        <f t="shared" si="5"/>
        <v>0</v>
      </c>
      <c r="M21" s="361">
        <f>SUM(M20)</f>
        <v>0</v>
      </c>
      <c r="N21" s="361">
        <f t="shared" si="5"/>
        <v>17188.71</v>
      </c>
      <c r="O21" s="381"/>
      <c r="P21" s="371">
        <f>COUNTA(B20)</f>
        <v>1</v>
      </c>
      <c r="Q21" s="380"/>
      <c r="R21" s="380"/>
      <c r="S21" s="380"/>
      <c r="T21" s="380"/>
      <c r="U21" s="372"/>
      <c r="V21" s="372"/>
      <c r="W21" s="372"/>
      <c r="X21" s="422"/>
    </row>
    <row r="22" spans="1:24" s="27" customFormat="1" ht="38.1" customHeight="1">
      <c r="A22" s="400" t="s">
        <v>825</v>
      </c>
      <c r="B22" s="433" t="s">
        <v>826</v>
      </c>
      <c r="C22" s="403" t="s">
        <v>827</v>
      </c>
      <c r="D22" s="403" t="s">
        <v>828</v>
      </c>
      <c r="E22" s="44">
        <v>65147.05</v>
      </c>
      <c r="F22" s="45">
        <f>H22+I22+J22+K22+L22+N22</f>
        <v>65147.05</v>
      </c>
      <c r="G22" s="374">
        <v>0.8</v>
      </c>
      <c r="H22" s="45">
        <v>39088.230000000003</v>
      </c>
      <c r="I22" s="45">
        <v>13029.41</v>
      </c>
      <c r="J22" s="44">
        <v>0</v>
      </c>
      <c r="K22" s="44">
        <v>0</v>
      </c>
      <c r="L22" s="44">
        <v>0</v>
      </c>
      <c r="M22" s="174">
        <v>0</v>
      </c>
      <c r="N22" s="195">
        <v>13029.41</v>
      </c>
      <c r="O22" s="350">
        <v>43255</v>
      </c>
      <c r="P22" s="367">
        <v>43263</v>
      </c>
      <c r="Q22" s="367">
        <v>43279</v>
      </c>
      <c r="R22" s="228">
        <v>43293</v>
      </c>
      <c r="S22" s="367">
        <v>43314</v>
      </c>
      <c r="T22" s="230" t="s">
        <v>935</v>
      </c>
      <c r="U22" s="230"/>
      <c r="V22" s="230"/>
      <c r="W22" s="113"/>
      <c r="X22" s="423"/>
    </row>
    <row r="23" spans="1:24" s="1" customFormat="1" ht="22.5" customHeight="1">
      <c r="A23" s="483" t="s">
        <v>829</v>
      </c>
      <c r="B23" s="483"/>
      <c r="C23" s="483"/>
      <c r="D23" s="483"/>
      <c r="E23" s="361">
        <f>SUM(E22)</f>
        <v>65147.05</v>
      </c>
      <c r="F23" s="361">
        <f>SUM(F22)</f>
        <v>65147.05</v>
      </c>
      <c r="G23" s="413">
        <v>0.8</v>
      </c>
      <c r="H23" s="361">
        <f t="shared" ref="H23:L23" si="6">SUM(H22)</f>
        <v>39088.230000000003</v>
      </c>
      <c r="I23" s="361">
        <f t="shared" si="6"/>
        <v>13029.41</v>
      </c>
      <c r="J23" s="361">
        <f t="shared" si="6"/>
        <v>0</v>
      </c>
      <c r="K23" s="361">
        <f t="shared" si="6"/>
        <v>0</v>
      </c>
      <c r="L23" s="361">
        <f t="shared" si="6"/>
        <v>0</v>
      </c>
      <c r="M23" s="361">
        <f>SUM(M22)</f>
        <v>0</v>
      </c>
      <c r="N23" s="361">
        <f>SUM(N22)</f>
        <v>13029.41</v>
      </c>
      <c r="O23" s="382"/>
      <c r="P23" s="326">
        <f>COUNTA(B22)</f>
        <v>1</v>
      </c>
      <c r="Q23" s="379"/>
      <c r="R23" s="379"/>
      <c r="S23" s="379"/>
      <c r="T23" s="379"/>
      <c r="U23" s="327"/>
      <c r="V23" s="327"/>
      <c r="W23" s="327"/>
      <c r="X23" s="422"/>
    </row>
    <row r="24" spans="1:24" s="373" customFormat="1" ht="38.1" customHeight="1">
      <c r="A24" s="404" t="s">
        <v>872</v>
      </c>
      <c r="B24" s="427" t="s">
        <v>873</v>
      </c>
      <c r="C24" s="403" t="s">
        <v>874</v>
      </c>
      <c r="D24" s="403" t="s">
        <v>828</v>
      </c>
      <c r="E24" s="378">
        <v>101879.77</v>
      </c>
      <c r="F24" s="287">
        <f>H24+I24+J24+K24+L24+M24+N24</f>
        <v>101879.77</v>
      </c>
      <c r="G24" s="374">
        <f>(H24+I24+J24+K24+L24)/F24</f>
        <v>0.73616175223010416</v>
      </c>
      <c r="H24" s="287">
        <v>54401.85</v>
      </c>
      <c r="I24" s="287">
        <v>18133.95</v>
      </c>
      <c r="J24" s="287">
        <v>0</v>
      </c>
      <c r="K24" s="287">
        <v>0</v>
      </c>
      <c r="L24" s="287">
        <v>2464.19</v>
      </c>
      <c r="M24" s="287">
        <v>0</v>
      </c>
      <c r="N24" s="287">
        <v>26879.78</v>
      </c>
      <c r="O24" s="369">
        <v>43255</v>
      </c>
      <c r="P24" s="369">
        <v>43172</v>
      </c>
      <c r="Q24" s="369">
        <v>43321</v>
      </c>
      <c r="R24" s="369">
        <v>43364</v>
      </c>
      <c r="S24" s="369">
        <v>43399</v>
      </c>
      <c r="T24" s="286" t="s">
        <v>926</v>
      </c>
      <c r="U24" s="286"/>
      <c r="V24" s="286" t="s">
        <v>932</v>
      </c>
      <c r="W24" s="286"/>
      <c r="X24" s="422"/>
    </row>
    <row r="25" spans="1:24" s="1" customFormat="1" ht="22.5" customHeight="1">
      <c r="A25" s="488" t="s">
        <v>886</v>
      </c>
      <c r="B25" s="488"/>
      <c r="C25" s="488"/>
      <c r="D25" s="489"/>
      <c r="E25" s="361">
        <f>SUM(E24)</f>
        <v>101879.77</v>
      </c>
      <c r="F25" s="361">
        <f>SUM(F24)</f>
        <v>101879.77</v>
      </c>
      <c r="G25" s="360">
        <f>(H25+I25+J25+K25+L25)/F25</f>
        <v>0.73616175223010416</v>
      </c>
      <c r="H25" s="361">
        <f>SUM(H24)</f>
        <v>54401.85</v>
      </c>
      <c r="I25" s="361">
        <f t="shared" ref="I25:N25" si="7">SUM(I24)</f>
        <v>18133.95</v>
      </c>
      <c r="J25" s="361">
        <f t="shared" si="7"/>
        <v>0</v>
      </c>
      <c r="K25" s="361">
        <f t="shared" si="7"/>
        <v>0</v>
      </c>
      <c r="L25" s="361">
        <f t="shared" si="7"/>
        <v>2464.19</v>
      </c>
      <c r="M25" s="361">
        <f>SUM(M24)</f>
        <v>0</v>
      </c>
      <c r="N25" s="361">
        <f t="shared" si="7"/>
        <v>26879.78</v>
      </c>
      <c r="O25" s="382"/>
      <c r="P25" s="371">
        <f>COUNTA(B24)</f>
        <v>1</v>
      </c>
      <c r="Q25" s="380"/>
      <c r="R25" s="380"/>
      <c r="S25" s="380"/>
      <c r="T25" s="380"/>
      <c r="U25" s="372"/>
      <c r="V25" s="372"/>
      <c r="W25" s="372"/>
      <c r="X25" s="422"/>
    </row>
    <row r="26" spans="1:24" s="14" customFormat="1" ht="38.1" customHeight="1">
      <c r="A26" s="484" t="s">
        <v>734</v>
      </c>
      <c r="B26" s="428" t="s">
        <v>711</v>
      </c>
      <c r="C26" s="286" t="s">
        <v>710</v>
      </c>
      <c r="D26" s="286" t="s">
        <v>712</v>
      </c>
      <c r="E26" s="44">
        <v>653.98</v>
      </c>
      <c r="F26" s="368">
        <f>H26+I26+J26+K26+L26+M26+N26</f>
        <v>619.74</v>
      </c>
      <c r="G26" s="370">
        <f>H26/F26</f>
        <v>1</v>
      </c>
      <c r="H26" s="45">
        <v>619.74</v>
      </c>
      <c r="I26" s="45">
        <v>0</v>
      </c>
      <c r="J26" s="44">
        <v>0</v>
      </c>
      <c r="K26" s="44">
        <v>0</v>
      </c>
      <c r="L26" s="44">
        <v>0</v>
      </c>
      <c r="M26" s="174">
        <v>0</v>
      </c>
      <c r="N26" s="195">
        <v>0</v>
      </c>
      <c r="O26" s="176" t="s">
        <v>933</v>
      </c>
      <c r="P26" s="367">
        <v>42950</v>
      </c>
      <c r="Q26" s="367">
        <v>42992</v>
      </c>
      <c r="R26" s="194"/>
      <c r="S26" s="367">
        <v>43019</v>
      </c>
      <c r="T26" s="188" t="s">
        <v>838</v>
      </c>
      <c r="U26" s="188"/>
      <c r="V26" s="188"/>
      <c r="W26" s="215"/>
      <c r="X26" s="422"/>
    </row>
    <row r="27" spans="1:24" s="14" customFormat="1" ht="38.1" customHeight="1">
      <c r="A27" s="484"/>
      <c r="B27" s="428" t="s">
        <v>713</v>
      </c>
      <c r="C27" s="286" t="s">
        <v>710</v>
      </c>
      <c r="D27" s="286" t="s">
        <v>714</v>
      </c>
      <c r="E27" s="44">
        <v>4372.21</v>
      </c>
      <c r="F27" s="368">
        <f t="shared" ref="F27:F69" si="8">H27+I27+J27+K27+L27+M27+N27</f>
        <v>4360.6000000000004</v>
      </c>
      <c r="G27" s="370">
        <f t="shared" ref="G27:G58" si="9">H27/F27</f>
        <v>1</v>
      </c>
      <c r="H27" s="45">
        <v>4360.6000000000004</v>
      </c>
      <c r="I27" s="45">
        <v>0</v>
      </c>
      <c r="J27" s="44">
        <v>0</v>
      </c>
      <c r="K27" s="44">
        <v>0</v>
      </c>
      <c r="L27" s="44">
        <v>0</v>
      </c>
      <c r="M27" s="174">
        <v>0</v>
      </c>
      <c r="N27" s="195">
        <v>0</v>
      </c>
      <c r="O27" s="176" t="s">
        <v>933</v>
      </c>
      <c r="P27" s="367">
        <v>42950</v>
      </c>
      <c r="Q27" s="367">
        <v>42992</v>
      </c>
      <c r="R27" s="194"/>
      <c r="S27" s="367">
        <v>43019</v>
      </c>
      <c r="T27" s="188" t="s">
        <v>837</v>
      </c>
      <c r="U27" s="188"/>
      <c r="V27" s="188"/>
      <c r="W27" s="215"/>
      <c r="X27" s="422"/>
    </row>
    <row r="28" spans="1:24" s="14" customFormat="1" ht="38.1" customHeight="1">
      <c r="A28" s="484"/>
      <c r="B28" s="428" t="s">
        <v>715</v>
      </c>
      <c r="C28" s="286" t="s">
        <v>710</v>
      </c>
      <c r="D28" s="286" t="s">
        <v>716</v>
      </c>
      <c r="E28" s="44">
        <v>7361.91</v>
      </c>
      <c r="F28" s="368">
        <f t="shared" si="8"/>
        <v>4578.9399999999996</v>
      </c>
      <c r="G28" s="370">
        <f t="shared" si="9"/>
        <v>1</v>
      </c>
      <c r="H28" s="45">
        <v>4578.9399999999996</v>
      </c>
      <c r="I28" s="45">
        <v>0</v>
      </c>
      <c r="J28" s="44">
        <v>0</v>
      </c>
      <c r="K28" s="44">
        <v>0</v>
      </c>
      <c r="L28" s="44">
        <v>0</v>
      </c>
      <c r="M28" s="174">
        <v>0</v>
      </c>
      <c r="N28" s="195">
        <v>0</v>
      </c>
      <c r="O28" s="176" t="s">
        <v>933</v>
      </c>
      <c r="P28" s="367">
        <v>42950</v>
      </c>
      <c r="Q28" s="367">
        <v>42992</v>
      </c>
      <c r="R28" s="194"/>
      <c r="S28" s="367">
        <v>43019</v>
      </c>
      <c r="T28" s="188" t="s">
        <v>836</v>
      </c>
      <c r="U28" s="188"/>
      <c r="V28" s="188"/>
      <c r="W28" s="215"/>
      <c r="X28" s="422"/>
    </row>
    <row r="29" spans="1:24" s="14" customFormat="1" ht="38.1" customHeight="1">
      <c r="A29" s="484"/>
      <c r="B29" s="428" t="s">
        <v>717</v>
      </c>
      <c r="C29" s="286" t="s">
        <v>710</v>
      </c>
      <c r="D29" s="286" t="s">
        <v>718</v>
      </c>
      <c r="E29" s="44">
        <v>19778.7</v>
      </c>
      <c r="F29" s="368">
        <f t="shared" si="8"/>
        <v>18118.53</v>
      </c>
      <c r="G29" s="370">
        <f t="shared" si="9"/>
        <v>1</v>
      </c>
      <c r="H29" s="45">
        <v>18118.53</v>
      </c>
      <c r="I29" s="45">
        <v>0</v>
      </c>
      <c r="J29" s="44">
        <v>0</v>
      </c>
      <c r="K29" s="44">
        <v>0</v>
      </c>
      <c r="L29" s="44">
        <v>0</v>
      </c>
      <c r="M29" s="174">
        <v>0</v>
      </c>
      <c r="N29" s="195">
        <v>0</v>
      </c>
      <c r="O29" s="176" t="s">
        <v>933</v>
      </c>
      <c r="P29" s="367">
        <v>42950</v>
      </c>
      <c r="Q29" s="367">
        <v>42992</v>
      </c>
      <c r="R29" s="286"/>
      <c r="S29" s="367">
        <v>43019</v>
      </c>
      <c r="T29" s="299" t="s">
        <v>835</v>
      </c>
      <c r="U29" s="299"/>
      <c r="V29" s="299"/>
      <c r="W29" s="300"/>
      <c r="X29" s="422"/>
    </row>
    <row r="30" spans="1:24" s="14" customFormat="1" ht="38.1" customHeight="1">
      <c r="A30" s="484"/>
      <c r="B30" s="428" t="s">
        <v>719</v>
      </c>
      <c r="C30" s="286" t="s">
        <v>710</v>
      </c>
      <c r="D30" s="286" t="s">
        <v>720</v>
      </c>
      <c r="E30" s="44">
        <v>4488.79</v>
      </c>
      <c r="F30" s="368">
        <f t="shared" si="8"/>
        <v>6472.43</v>
      </c>
      <c r="G30" s="370">
        <f t="shared" si="9"/>
        <v>1</v>
      </c>
      <c r="H30" s="45">
        <v>6472.43</v>
      </c>
      <c r="I30" s="45">
        <v>0</v>
      </c>
      <c r="J30" s="44">
        <v>0</v>
      </c>
      <c r="K30" s="44">
        <v>0</v>
      </c>
      <c r="L30" s="44">
        <v>0</v>
      </c>
      <c r="M30" s="174">
        <v>0</v>
      </c>
      <c r="N30" s="195">
        <v>0</v>
      </c>
      <c r="O30" s="176" t="s">
        <v>933</v>
      </c>
      <c r="P30" s="367">
        <v>42950</v>
      </c>
      <c r="Q30" s="367">
        <v>42992</v>
      </c>
      <c r="R30" s="286"/>
      <c r="S30" s="367">
        <v>43019</v>
      </c>
      <c r="T30" s="299" t="s">
        <v>844</v>
      </c>
      <c r="U30" s="299"/>
      <c r="V30" s="299"/>
      <c r="W30" s="300"/>
      <c r="X30" s="422"/>
    </row>
    <row r="31" spans="1:24" s="14" customFormat="1" ht="38.1" customHeight="1">
      <c r="A31" s="484"/>
      <c r="B31" s="428" t="s">
        <v>721</v>
      </c>
      <c r="C31" s="286" t="s">
        <v>710</v>
      </c>
      <c r="D31" s="286" t="s">
        <v>777</v>
      </c>
      <c r="E31" s="44">
        <v>623.41999999999996</v>
      </c>
      <c r="F31" s="368">
        <f t="shared" si="8"/>
        <v>615.21</v>
      </c>
      <c r="G31" s="370">
        <f t="shared" si="9"/>
        <v>1</v>
      </c>
      <c r="H31" s="45">
        <v>615.21</v>
      </c>
      <c r="I31" s="45">
        <v>0</v>
      </c>
      <c r="J31" s="44">
        <v>0</v>
      </c>
      <c r="K31" s="44">
        <v>0</v>
      </c>
      <c r="L31" s="44">
        <v>0</v>
      </c>
      <c r="M31" s="174">
        <v>0</v>
      </c>
      <c r="N31" s="195">
        <v>0</v>
      </c>
      <c r="O31" s="176" t="s">
        <v>933</v>
      </c>
      <c r="P31" s="367">
        <v>42950</v>
      </c>
      <c r="Q31" s="367">
        <v>42992</v>
      </c>
      <c r="R31" s="286"/>
      <c r="S31" s="367">
        <v>43019</v>
      </c>
      <c r="T31" s="299" t="s">
        <v>841</v>
      </c>
      <c r="U31" s="299"/>
      <c r="V31" s="299"/>
      <c r="W31" s="300"/>
      <c r="X31" s="422"/>
    </row>
    <row r="32" spans="1:24" s="420" customFormat="1" ht="38.1" customHeight="1">
      <c r="A32" s="484"/>
      <c r="B32" s="444" t="s">
        <v>722</v>
      </c>
      <c r="C32" s="314" t="s">
        <v>710</v>
      </c>
      <c r="D32" s="314" t="s">
        <v>723</v>
      </c>
      <c r="E32" s="414">
        <v>2985.74</v>
      </c>
      <c r="F32" s="445">
        <f t="shared" si="8"/>
        <v>2980.98</v>
      </c>
      <c r="G32" s="416">
        <f t="shared" si="9"/>
        <v>1</v>
      </c>
      <c r="H32" s="415">
        <v>2980.98</v>
      </c>
      <c r="I32" s="415">
        <v>0</v>
      </c>
      <c r="J32" s="414">
        <v>0</v>
      </c>
      <c r="K32" s="414">
        <v>0</v>
      </c>
      <c r="L32" s="414">
        <v>0</v>
      </c>
      <c r="M32" s="417">
        <v>0</v>
      </c>
      <c r="N32" s="218">
        <v>0</v>
      </c>
      <c r="O32" s="315" t="s">
        <v>933</v>
      </c>
      <c r="P32" s="419">
        <v>42950</v>
      </c>
      <c r="Q32" s="419">
        <v>42992</v>
      </c>
      <c r="R32" s="314"/>
      <c r="S32" s="419">
        <v>43019</v>
      </c>
      <c r="T32" s="418" t="s">
        <v>840</v>
      </c>
      <c r="U32" s="418"/>
      <c r="V32" s="418" t="s">
        <v>938</v>
      </c>
      <c r="W32" s="315"/>
      <c r="X32" s="446"/>
    </row>
    <row r="33" spans="1:24" s="14" customFormat="1" ht="38.1" customHeight="1">
      <c r="A33" s="484"/>
      <c r="B33" s="428" t="s">
        <v>724</v>
      </c>
      <c r="C33" s="286" t="s">
        <v>710</v>
      </c>
      <c r="D33" s="286" t="s">
        <v>725</v>
      </c>
      <c r="E33" s="44">
        <v>700.74</v>
      </c>
      <c r="F33" s="368">
        <f t="shared" si="8"/>
        <v>681.09</v>
      </c>
      <c r="G33" s="370">
        <f t="shared" si="9"/>
        <v>1</v>
      </c>
      <c r="H33" s="45">
        <v>681.09</v>
      </c>
      <c r="I33" s="45">
        <v>0</v>
      </c>
      <c r="J33" s="44">
        <v>0</v>
      </c>
      <c r="K33" s="44">
        <v>0</v>
      </c>
      <c r="L33" s="44">
        <v>0</v>
      </c>
      <c r="M33" s="174">
        <v>0</v>
      </c>
      <c r="N33" s="195">
        <v>0</v>
      </c>
      <c r="O33" s="176" t="s">
        <v>933</v>
      </c>
      <c r="P33" s="367">
        <v>42950</v>
      </c>
      <c r="Q33" s="367">
        <v>42992</v>
      </c>
      <c r="R33" s="286"/>
      <c r="S33" s="367">
        <v>43019</v>
      </c>
      <c r="T33" s="299" t="s">
        <v>834</v>
      </c>
      <c r="U33" s="299"/>
      <c r="V33" s="299"/>
      <c r="W33" s="300"/>
      <c r="X33" s="422"/>
    </row>
    <row r="34" spans="1:24" s="14" customFormat="1" ht="38.1" customHeight="1">
      <c r="A34" s="484"/>
      <c r="B34" s="428" t="s">
        <v>726</v>
      </c>
      <c r="C34" s="286" t="s">
        <v>710</v>
      </c>
      <c r="D34" s="286" t="s">
        <v>727</v>
      </c>
      <c r="E34" s="44">
        <v>3109.62</v>
      </c>
      <c r="F34" s="368">
        <f t="shared" si="8"/>
        <v>3208.11</v>
      </c>
      <c r="G34" s="370">
        <f t="shared" si="9"/>
        <v>1</v>
      </c>
      <c r="H34" s="45">
        <v>3208.11</v>
      </c>
      <c r="I34" s="45">
        <v>0</v>
      </c>
      <c r="J34" s="44">
        <v>0</v>
      </c>
      <c r="K34" s="44">
        <v>0</v>
      </c>
      <c r="L34" s="44">
        <v>0</v>
      </c>
      <c r="M34" s="174">
        <v>0</v>
      </c>
      <c r="N34" s="195">
        <v>0</v>
      </c>
      <c r="O34" s="176" t="s">
        <v>933</v>
      </c>
      <c r="P34" s="367">
        <v>42950</v>
      </c>
      <c r="Q34" s="367">
        <v>42992</v>
      </c>
      <c r="R34" s="286"/>
      <c r="S34" s="367">
        <v>43019</v>
      </c>
      <c r="T34" s="299" t="s">
        <v>839</v>
      </c>
      <c r="U34" s="299"/>
      <c r="V34" s="299"/>
      <c r="W34" s="300"/>
      <c r="X34" s="422"/>
    </row>
    <row r="35" spans="1:24" s="14" customFormat="1" ht="38.1" customHeight="1">
      <c r="A35" s="484"/>
      <c r="B35" s="428" t="s">
        <v>728</v>
      </c>
      <c r="C35" s="286" t="s">
        <v>710</v>
      </c>
      <c r="D35" s="286" t="s">
        <v>729</v>
      </c>
      <c r="E35" s="44">
        <v>1902.78</v>
      </c>
      <c r="F35" s="368">
        <f t="shared" si="8"/>
        <v>1050.1500000000001</v>
      </c>
      <c r="G35" s="370">
        <f t="shared" si="9"/>
        <v>1</v>
      </c>
      <c r="H35" s="45">
        <v>1050.1500000000001</v>
      </c>
      <c r="I35" s="45">
        <v>0</v>
      </c>
      <c r="J35" s="44">
        <v>0</v>
      </c>
      <c r="K35" s="44">
        <v>0</v>
      </c>
      <c r="L35" s="44">
        <v>0</v>
      </c>
      <c r="M35" s="174">
        <v>0</v>
      </c>
      <c r="N35" s="195">
        <v>0</v>
      </c>
      <c r="O35" s="176" t="s">
        <v>933</v>
      </c>
      <c r="P35" s="367">
        <v>42950</v>
      </c>
      <c r="Q35" s="367">
        <v>42992</v>
      </c>
      <c r="R35" s="286"/>
      <c r="S35" s="367">
        <v>43019</v>
      </c>
      <c r="T35" s="299" t="s">
        <v>842</v>
      </c>
      <c r="U35" s="299"/>
      <c r="V35" s="299"/>
      <c r="W35" s="300"/>
      <c r="X35" s="422"/>
    </row>
    <row r="36" spans="1:24" s="14" customFormat="1" ht="38.1" customHeight="1">
      <c r="A36" s="484"/>
      <c r="B36" s="428" t="s">
        <v>730</v>
      </c>
      <c r="C36" s="286" t="s">
        <v>710</v>
      </c>
      <c r="D36" s="286" t="s">
        <v>731</v>
      </c>
      <c r="E36" s="44">
        <v>627.21</v>
      </c>
      <c r="F36" s="368">
        <f t="shared" si="8"/>
        <v>627.21</v>
      </c>
      <c r="G36" s="370">
        <f t="shared" si="9"/>
        <v>1</v>
      </c>
      <c r="H36" s="45">
        <v>627.21</v>
      </c>
      <c r="I36" s="45">
        <v>0</v>
      </c>
      <c r="J36" s="44">
        <v>0</v>
      </c>
      <c r="K36" s="44">
        <v>0</v>
      </c>
      <c r="L36" s="44">
        <v>0</v>
      </c>
      <c r="M36" s="174">
        <v>0</v>
      </c>
      <c r="N36" s="195">
        <v>0</v>
      </c>
      <c r="O36" s="176" t="s">
        <v>933</v>
      </c>
      <c r="P36" s="367">
        <v>42950</v>
      </c>
      <c r="Q36" s="367">
        <v>42992</v>
      </c>
      <c r="R36" s="286"/>
      <c r="S36" s="367">
        <v>43019</v>
      </c>
      <c r="T36" s="299" t="s">
        <v>843</v>
      </c>
      <c r="U36" s="299"/>
      <c r="V36" s="299"/>
      <c r="W36" s="300"/>
      <c r="X36" s="422"/>
    </row>
    <row r="37" spans="1:24" s="14" customFormat="1" ht="38.1" customHeight="1">
      <c r="A37" s="484"/>
      <c r="B37" s="428" t="s">
        <v>735</v>
      </c>
      <c r="C37" s="286" t="s">
        <v>736</v>
      </c>
      <c r="D37" s="286" t="s">
        <v>737</v>
      </c>
      <c r="E37" s="174">
        <v>1174.1600000000001</v>
      </c>
      <c r="F37" s="368">
        <f t="shared" si="8"/>
        <v>1008.56</v>
      </c>
      <c r="G37" s="370">
        <f t="shared" si="9"/>
        <v>1</v>
      </c>
      <c r="H37" s="368">
        <v>1008.56</v>
      </c>
      <c r="I37" s="368">
        <v>0</v>
      </c>
      <c r="J37" s="174">
        <v>0</v>
      </c>
      <c r="K37" s="174">
        <v>0</v>
      </c>
      <c r="L37" s="174">
        <v>0</v>
      </c>
      <c r="M37" s="174">
        <v>0</v>
      </c>
      <c r="N37" s="287">
        <v>0</v>
      </c>
      <c r="O37" s="176" t="s">
        <v>934</v>
      </c>
      <c r="P37" s="369">
        <v>42983</v>
      </c>
      <c r="Q37" s="369">
        <v>43027</v>
      </c>
      <c r="R37" s="286"/>
      <c r="S37" s="350">
        <v>43081</v>
      </c>
      <c r="T37" s="299" t="s">
        <v>918</v>
      </c>
      <c r="U37" s="299"/>
      <c r="V37" s="299"/>
      <c r="W37" s="300"/>
      <c r="X37" s="422"/>
    </row>
    <row r="38" spans="1:24" s="14" customFormat="1" ht="38.1" customHeight="1">
      <c r="A38" s="484"/>
      <c r="B38" s="428" t="s">
        <v>738</v>
      </c>
      <c r="C38" s="286" t="s">
        <v>736</v>
      </c>
      <c r="D38" s="286" t="s">
        <v>739</v>
      </c>
      <c r="E38" s="174">
        <v>261.08999999999997</v>
      </c>
      <c r="F38" s="368">
        <f t="shared" si="8"/>
        <v>247.73</v>
      </c>
      <c r="G38" s="370">
        <f t="shared" si="9"/>
        <v>1</v>
      </c>
      <c r="H38" s="368">
        <v>247.73</v>
      </c>
      <c r="I38" s="368">
        <v>0</v>
      </c>
      <c r="J38" s="174">
        <v>0</v>
      </c>
      <c r="K38" s="174">
        <v>0</v>
      </c>
      <c r="L38" s="174">
        <v>0</v>
      </c>
      <c r="M38" s="174">
        <v>0</v>
      </c>
      <c r="N38" s="287">
        <v>0</v>
      </c>
      <c r="O38" s="176" t="s">
        <v>934</v>
      </c>
      <c r="P38" s="369">
        <v>42983</v>
      </c>
      <c r="Q38" s="369">
        <v>43027</v>
      </c>
      <c r="R38" s="286"/>
      <c r="S38" s="350">
        <v>43081</v>
      </c>
      <c r="T38" s="299" t="s">
        <v>916</v>
      </c>
      <c r="U38" s="299"/>
      <c r="V38" s="299"/>
      <c r="W38" s="300"/>
      <c r="X38" s="422"/>
    </row>
    <row r="39" spans="1:24" s="14" customFormat="1" ht="38.1" customHeight="1">
      <c r="A39" s="484"/>
      <c r="B39" s="428" t="s">
        <v>740</v>
      </c>
      <c r="C39" s="286" t="s">
        <v>736</v>
      </c>
      <c r="D39" s="286" t="s">
        <v>741</v>
      </c>
      <c r="E39" s="174">
        <v>4545.91</v>
      </c>
      <c r="F39" s="368">
        <f t="shared" si="8"/>
        <v>4184.04</v>
      </c>
      <c r="G39" s="370">
        <f t="shared" si="9"/>
        <v>1</v>
      </c>
      <c r="H39" s="368">
        <v>4184.04</v>
      </c>
      <c r="I39" s="368">
        <v>0</v>
      </c>
      <c r="J39" s="174">
        <v>0</v>
      </c>
      <c r="K39" s="174">
        <v>0</v>
      </c>
      <c r="L39" s="174">
        <v>0</v>
      </c>
      <c r="M39" s="174">
        <v>0</v>
      </c>
      <c r="N39" s="287">
        <v>0</v>
      </c>
      <c r="O39" s="176" t="s">
        <v>934</v>
      </c>
      <c r="P39" s="369">
        <v>42983</v>
      </c>
      <c r="Q39" s="369">
        <v>43027</v>
      </c>
      <c r="R39" s="286"/>
      <c r="S39" s="350">
        <v>43081</v>
      </c>
      <c r="T39" s="299" t="s">
        <v>917</v>
      </c>
      <c r="U39" s="299"/>
      <c r="V39" s="299"/>
      <c r="W39" s="300"/>
      <c r="X39" s="422"/>
    </row>
    <row r="40" spans="1:24" s="14" customFormat="1" ht="38.1" customHeight="1">
      <c r="A40" s="484"/>
      <c r="B40" s="428" t="s">
        <v>742</v>
      </c>
      <c r="C40" s="286" t="s">
        <v>736</v>
      </c>
      <c r="D40" s="286" t="s">
        <v>743</v>
      </c>
      <c r="E40" s="174">
        <v>113.85</v>
      </c>
      <c r="F40" s="368">
        <f t="shared" si="8"/>
        <v>99.3</v>
      </c>
      <c r="G40" s="370">
        <f t="shared" si="9"/>
        <v>1</v>
      </c>
      <c r="H40" s="368">
        <v>99.3</v>
      </c>
      <c r="I40" s="368">
        <v>0</v>
      </c>
      <c r="J40" s="174">
        <v>0</v>
      </c>
      <c r="K40" s="174">
        <v>0</v>
      </c>
      <c r="L40" s="174">
        <v>0</v>
      </c>
      <c r="M40" s="174">
        <v>0</v>
      </c>
      <c r="N40" s="287">
        <v>0</v>
      </c>
      <c r="O40" s="176" t="s">
        <v>934</v>
      </c>
      <c r="P40" s="369">
        <v>42983</v>
      </c>
      <c r="Q40" s="369">
        <v>43027</v>
      </c>
      <c r="R40" s="286"/>
      <c r="S40" s="350">
        <v>43081</v>
      </c>
      <c r="T40" s="299" t="s">
        <v>915</v>
      </c>
      <c r="U40" s="299"/>
      <c r="V40" s="299"/>
      <c r="W40" s="300"/>
      <c r="X40" s="422"/>
    </row>
    <row r="41" spans="1:24" s="14" customFormat="1" ht="38.1" customHeight="1">
      <c r="A41" s="484"/>
      <c r="B41" s="428" t="s">
        <v>744</v>
      </c>
      <c r="C41" s="286" t="s">
        <v>736</v>
      </c>
      <c r="D41" s="286" t="s">
        <v>745</v>
      </c>
      <c r="E41" s="174">
        <v>2555.5100000000002</v>
      </c>
      <c r="F41" s="368">
        <f t="shared" si="8"/>
        <v>1575.02</v>
      </c>
      <c r="G41" s="370">
        <f t="shared" si="9"/>
        <v>1</v>
      </c>
      <c r="H41" s="368">
        <v>1575.02</v>
      </c>
      <c r="I41" s="368">
        <v>0</v>
      </c>
      <c r="J41" s="174">
        <v>0</v>
      </c>
      <c r="K41" s="174">
        <v>0</v>
      </c>
      <c r="L41" s="174">
        <v>0</v>
      </c>
      <c r="M41" s="174">
        <v>0</v>
      </c>
      <c r="N41" s="287">
        <v>0</v>
      </c>
      <c r="O41" s="176" t="s">
        <v>934</v>
      </c>
      <c r="P41" s="369">
        <v>42983</v>
      </c>
      <c r="Q41" s="369">
        <v>43027</v>
      </c>
      <c r="R41" s="286"/>
      <c r="S41" s="350">
        <v>43081</v>
      </c>
      <c r="T41" s="299" t="s">
        <v>914</v>
      </c>
      <c r="U41" s="299"/>
      <c r="V41" s="299"/>
      <c r="W41" s="300"/>
      <c r="X41" s="422"/>
    </row>
    <row r="42" spans="1:24" s="14" customFormat="1" ht="38.1" customHeight="1">
      <c r="A42" s="484"/>
      <c r="B42" s="428" t="s">
        <v>746</v>
      </c>
      <c r="C42" s="286" t="s">
        <v>736</v>
      </c>
      <c r="D42" s="286" t="s">
        <v>778</v>
      </c>
      <c r="E42" s="174">
        <v>359.52</v>
      </c>
      <c r="F42" s="368">
        <f t="shared" si="8"/>
        <v>359.52</v>
      </c>
      <c r="G42" s="370">
        <f t="shared" si="9"/>
        <v>1</v>
      </c>
      <c r="H42" s="368">
        <v>359.52</v>
      </c>
      <c r="I42" s="368">
        <v>0</v>
      </c>
      <c r="J42" s="174">
        <v>0</v>
      </c>
      <c r="K42" s="174">
        <v>0</v>
      </c>
      <c r="L42" s="174">
        <v>0</v>
      </c>
      <c r="M42" s="174">
        <v>0</v>
      </c>
      <c r="N42" s="287">
        <v>0</v>
      </c>
      <c r="O42" s="176" t="s">
        <v>934</v>
      </c>
      <c r="P42" s="369">
        <v>42983</v>
      </c>
      <c r="Q42" s="369">
        <v>43048</v>
      </c>
      <c r="R42" s="286"/>
      <c r="S42" s="350">
        <v>43076</v>
      </c>
      <c r="T42" s="299" t="s">
        <v>913</v>
      </c>
      <c r="U42" s="299"/>
      <c r="V42" s="299"/>
      <c r="W42" s="300"/>
      <c r="X42" s="422"/>
    </row>
    <row r="43" spans="1:24" s="14" customFormat="1" ht="38.1" customHeight="1">
      <c r="A43" s="484"/>
      <c r="B43" s="428" t="s">
        <v>747</v>
      </c>
      <c r="C43" s="286" t="s">
        <v>736</v>
      </c>
      <c r="D43" s="286" t="s">
        <v>748</v>
      </c>
      <c r="E43" s="174">
        <v>5405.85</v>
      </c>
      <c r="F43" s="368">
        <f t="shared" si="8"/>
        <v>5371.04</v>
      </c>
      <c r="G43" s="370">
        <f t="shared" si="9"/>
        <v>1</v>
      </c>
      <c r="H43" s="368">
        <v>5371.04</v>
      </c>
      <c r="I43" s="368">
        <v>0</v>
      </c>
      <c r="J43" s="174">
        <v>0</v>
      </c>
      <c r="K43" s="174">
        <v>0</v>
      </c>
      <c r="L43" s="174">
        <v>0</v>
      </c>
      <c r="M43" s="174">
        <v>0</v>
      </c>
      <c r="N43" s="287">
        <v>0</v>
      </c>
      <c r="O43" s="176" t="s">
        <v>934</v>
      </c>
      <c r="P43" s="369">
        <v>42983</v>
      </c>
      <c r="Q43" s="369">
        <v>43048</v>
      </c>
      <c r="R43" s="286"/>
      <c r="S43" s="350">
        <v>43076</v>
      </c>
      <c r="T43" s="299" t="s">
        <v>912</v>
      </c>
      <c r="U43" s="299"/>
      <c r="V43" s="299"/>
      <c r="W43" s="300"/>
      <c r="X43" s="422"/>
    </row>
    <row r="44" spans="1:24" s="14" customFormat="1" ht="38.1" customHeight="1">
      <c r="A44" s="484"/>
      <c r="B44" s="428" t="s">
        <v>751</v>
      </c>
      <c r="C44" s="286" t="s">
        <v>749</v>
      </c>
      <c r="D44" s="286" t="s">
        <v>750</v>
      </c>
      <c r="E44" s="174">
        <v>2220.88</v>
      </c>
      <c r="F44" s="368">
        <f t="shared" si="8"/>
        <v>1060.28</v>
      </c>
      <c r="G44" s="370">
        <f t="shared" si="9"/>
        <v>1</v>
      </c>
      <c r="H44" s="368">
        <v>1060.28</v>
      </c>
      <c r="I44" s="368">
        <v>0</v>
      </c>
      <c r="J44" s="174">
        <v>0</v>
      </c>
      <c r="K44" s="174">
        <v>0</v>
      </c>
      <c r="L44" s="174">
        <v>0</v>
      </c>
      <c r="M44" s="174">
        <v>0</v>
      </c>
      <c r="N44" s="287">
        <v>0</v>
      </c>
      <c r="O44" s="176" t="s">
        <v>934</v>
      </c>
      <c r="P44" s="369">
        <v>42983</v>
      </c>
      <c r="Q44" s="369">
        <v>43062</v>
      </c>
      <c r="R44" s="286"/>
      <c r="S44" s="350">
        <v>43084</v>
      </c>
      <c r="T44" s="299" t="s">
        <v>846</v>
      </c>
      <c r="U44" s="299"/>
      <c r="V44" s="299"/>
      <c r="W44" s="300"/>
      <c r="X44" s="422"/>
    </row>
    <row r="45" spans="1:24" s="14" customFormat="1" ht="38.1" customHeight="1">
      <c r="A45" s="484"/>
      <c r="B45" s="428" t="s">
        <v>752</v>
      </c>
      <c r="C45" s="286" t="s">
        <v>749</v>
      </c>
      <c r="D45" s="286" t="s">
        <v>753</v>
      </c>
      <c r="E45" s="174">
        <v>10103.51</v>
      </c>
      <c r="F45" s="368">
        <f t="shared" si="8"/>
        <v>4444.8999999999996</v>
      </c>
      <c r="G45" s="370">
        <f t="shared" si="9"/>
        <v>1</v>
      </c>
      <c r="H45" s="368">
        <v>4444.8999999999996</v>
      </c>
      <c r="I45" s="368">
        <v>0</v>
      </c>
      <c r="J45" s="174">
        <v>0</v>
      </c>
      <c r="K45" s="174">
        <v>0</v>
      </c>
      <c r="L45" s="174">
        <v>0</v>
      </c>
      <c r="M45" s="174">
        <v>0</v>
      </c>
      <c r="N45" s="287">
        <v>0</v>
      </c>
      <c r="O45" s="176" t="s">
        <v>934</v>
      </c>
      <c r="P45" s="369">
        <v>42983</v>
      </c>
      <c r="Q45" s="369">
        <v>43062</v>
      </c>
      <c r="R45" s="286"/>
      <c r="S45" s="350">
        <v>43084</v>
      </c>
      <c r="T45" s="299" t="s">
        <v>849</v>
      </c>
      <c r="U45" s="299"/>
      <c r="V45" s="299"/>
      <c r="W45" s="300"/>
      <c r="X45" s="422"/>
    </row>
    <row r="46" spans="1:24" s="14" customFormat="1" ht="38.1" customHeight="1">
      <c r="A46" s="484"/>
      <c r="B46" s="428" t="s">
        <v>754</v>
      </c>
      <c r="C46" s="286" t="s">
        <v>749</v>
      </c>
      <c r="D46" s="286" t="s">
        <v>755</v>
      </c>
      <c r="E46" s="174">
        <v>47588.28</v>
      </c>
      <c r="F46" s="368">
        <f t="shared" si="8"/>
        <v>46652.62</v>
      </c>
      <c r="G46" s="370">
        <f>H46/F46</f>
        <v>1</v>
      </c>
      <c r="H46" s="368">
        <v>46652.62</v>
      </c>
      <c r="I46" s="368">
        <v>0</v>
      </c>
      <c r="J46" s="174">
        <v>0</v>
      </c>
      <c r="K46" s="174">
        <v>0</v>
      </c>
      <c r="L46" s="174">
        <v>0</v>
      </c>
      <c r="M46" s="174">
        <v>0</v>
      </c>
      <c r="N46" s="287">
        <v>0</v>
      </c>
      <c r="O46" s="176" t="s">
        <v>934</v>
      </c>
      <c r="P46" s="369">
        <v>42983</v>
      </c>
      <c r="Q46" s="369">
        <v>43062</v>
      </c>
      <c r="R46" s="369">
        <v>43089</v>
      </c>
      <c r="S46" s="350">
        <v>43115</v>
      </c>
      <c r="T46" s="405" t="s">
        <v>921</v>
      </c>
      <c r="U46" s="299"/>
      <c r="V46" s="299"/>
      <c r="W46" s="300"/>
      <c r="X46" s="422"/>
    </row>
    <row r="47" spans="1:24" s="14" customFormat="1" ht="38.1" customHeight="1">
      <c r="A47" s="484"/>
      <c r="B47" s="428" t="s">
        <v>756</v>
      </c>
      <c r="C47" s="286" t="s">
        <v>749</v>
      </c>
      <c r="D47" s="286" t="s">
        <v>757</v>
      </c>
      <c r="E47" s="174">
        <v>12738.47</v>
      </c>
      <c r="F47" s="368">
        <f t="shared" si="8"/>
        <v>12738.47</v>
      </c>
      <c r="G47" s="370">
        <f t="shared" si="9"/>
        <v>1</v>
      </c>
      <c r="H47" s="368">
        <v>12738.47</v>
      </c>
      <c r="I47" s="368">
        <v>0</v>
      </c>
      <c r="J47" s="174">
        <v>0</v>
      </c>
      <c r="K47" s="174">
        <v>0</v>
      </c>
      <c r="L47" s="174">
        <v>0</v>
      </c>
      <c r="M47" s="174">
        <v>0</v>
      </c>
      <c r="N47" s="287">
        <v>0</v>
      </c>
      <c r="O47" s="176" t="s">
        <v>934</v>
      </c>
      <c r="P47" s="369">
        <v>42983</v>
      </c>
      <c r="Q47" s="369">
        <v>43062</v>
      </c>
      <c r="R47" s="286"/>
      <c r="S47" s="350">
        <v>43084</v>
      </c>
      <c r="T47" s="299" t="s">
        <v>845</v>
      </c>
      <c r="U47" s="299"/>
      <c r="V47" s="299"/>
      <c r="W47" s="300"/>
      <c r="X47" s="422"/>
    </row>
    <row r="48" spans="1:24" s="14" customFormat="1" ht="38.1" customHeight="1">
      <c r="A48" s="484"/>
      <c r="B48" s="428" t="s">
        <v>758</v>
      </c>
      <c r="C48" s="286" t="s">
        <v>759</v>
      </c>
      <c r="D48" s="286" t="s">
        <v>716</v>
      </c>
      <c r="E48" s="174">
        <v>14061.82</v>
      </c>
      <c r="F48" s="368">
        <f t="shared" si="8"/>
        <v>9236.33</v>
      </c>
      <c r="G48" s="370">
        <f t="shared" si="9"/>
        <v>1</v>
      </c>
      <c r="H48" s="368">
        <v>9236.33</v>
      </c>
      <c r="I48" s="368">
        <v>0</v>
      </c>
      <c r="J48" s="174">
        <v>0</v>
      </c>
      <c r="K48" s="174">
        <v>0</v>
      </c>
      <c r="L48" s="174">
        <v>0</v>
      </c>
      <c r="M48" s="174">
        <v>0</v>
      </c>
      <c r="N48" s="287">
        <v>0</v>
      </c>
      <c r="O48" s="176" t="s">
        <v>934</v>
      </c>
      <c r="P48" s="369">
        <v>42983</v>
      </c>
      <c r="Q48" s="369">
        <v>43062</v>
      </c>
      <c r="R48" s="286"/>
      <c r="S48" s="350">
        <v>43084</v>
      </c>
      <c r="T48" s="350" t="s">
        <v>919</v>
      </c>
      <c r="U48" s="299"/>
      <c r="V48" s="299"/>
      <c r="W48" s="300"/>
      <c r="X48" s="422"/>
    </row>
    <row r="49" spans="1:24" s="14" customFormat="1" ht="38.1" customHeight="1">
      <c r="A49" s="484"/>
      <c r="B49" s="428" t="s">
        <v>760</v>
      </c>
      <c r="C49" s="286" t="s">
        <v>759</v>
      </c>
      <c r="D49" s="286" t="s">
        <v>761</v>
      </c>
      <c r="E49" s="174">
        <v>15460.4</v>
      </c>
      <c r="F49" s="368">
        <f t="shared" si="8"/>
        <v>2783.74</v>
      </c>
      <c r="G49" s="370">
        <f t="shared" si="9"/>
        <v>1</v>
      </c>
      <c r="H49" s="368">
        <v>2783.74</v>
      </c>
      <c r="I49" s="368">
        <v>0</v>
      </c>
      <c r="J49" s="174">
        <v>0</v>
      </c>
      <c r="K49" s="174">
        <v>0</v>
      </c>
      <c r="L49" s="174">
        <v>0</v>
      </c>
      <c r="M49" s="174">
        <v>0</v>
      </c>
      <c r="N49" s="287">
        <v>0</v>
      </c>
      <c r="O49" s="176" t="s">
        <v>934</v>
      </c>
      <c r="P49" s="369">
        <v>42983</v>
      </c>
      <c r="Q49" s="369">
        <v>43062</v>
      </c>
      <c r="R49" s="286"/>
      <c r="S49" s="350">
        <v>43084</v>
      </c>
      <c r="T49" s="299" t="s">
        <v>850</v>
      </c>
      <c r="U49" s="299"/>
      <c r="V49" s="299"/>
      <c r="W49" s="300"/>
      <c r="X49" s="422"/>
    </row>
    <row r="50" spans="1:24" s="14" customFormat="1" ht="38.1" customHeight="1">
      <c r="A50" s="484"/>
      <c r="B50" s="428" t="s">
        <v>762</v>
      </c>
      <c r="C50" s="286" t="s">
        <v>759</v>
      </c>
      <c r="D50" s="286" t="s">
        <v>757</v>
      </c>
      <c r="E50" s="174">
        <v>18673.43</v>
      </c>
      <c r="F50" s="368">
        <f t="shared" si="8"/>
        <v>17099.099999999999</v>
      </c>
      <c r="G50" s="370">
        <f t="shared" si="9"/>
        <v>1</v>
      </c>
      <c r="H50" s="368">
        <v>17099.099999999999</v>
      </c>
      <c r="I50" s="368">
        <v>0</v>
      </c>
      <c r="J50" s="174">
        <v>0</v>
      </c>
      <c r="K50" s="174">
        <v>0</v>
      </c>
      <c r="L50" s="174">
        <v>0</v>
      </c>
      <c r="M50" s="174">
        <v>0</v>
      </c>
      <c r="N50" s="287">
        <v>0</v>
      </c>
      <c r="O50" s="176" t="s">
        <v>934</v>
      </c>
      <c r="P50" s="369">
        <v>42983</v>
      </c>
      <c r="Q50" s="369">
        <v>43062</v>
      </c>
      <c r="R50" s="286"/>
      <c r="S50" s="350">
        <v>43084</v>
      </c>
      <c r="T50" s="299" t="s">
        <v>847</v>
      </c>
      <c r="U50" s="299"/>
      <c r="V50" s="299"/>
      <c r="W50" s="300"/>
      <c r="X50" s="422"/>
    </row>
    <row r="51" spans="1:24" s="14" customFormat="1" ht="38.1" customHeight="1">
      <c r="A51" s="484"/>
      <c r="B51" s="428" t="s">
        <v>763</v>
      </c>
      <c r="C51" s="286" t="s">
        <v>759</v>
      </c>
      <c r="D51" s="286" t="s">
        <v>750</v>
      </c>
      <c r="E51" s="174">
        <v>2346.37</v>
      </c>
      <c r="F51" s="368">
        <f t="shared" si="8"/>
        <v>883.53</v>
      </c>
      <c r="G51" s="370">
        <f t="shared" si="9"/>
        <v>1</v>
      </c>
      <c r="H51" s="368">
        <v>883.53</v>
      </c>
      <c r="I51" s="368">
        <v>0</v>
      </c>
      <c r="J51" s="174">
        <v>0</v>
      </c>
      <c r="K51" s="174">
        <v>0</v>
      </c>
      <c r="L51" s="174">
        <v>0</v>
      </c>
      <c r="M51" s="174">
        <v>0</v>
      </c>
      <c r="N51" s="287">
        <v>0</v>
      </c>
      <c r="O51" s="176" t="s">
        <v>934</v>
      </c>
      <c r="P51" s="369">
        <v>42983</v>
      </c>
      <c r="Q51" s="369">
        <v>43062</v>
      </c>
      <c r="R51" s="286"/>
      <c r="S51" s="350">
        <v>43084</v>
      </c>
      <c r="T51" s="299" t="s">
        <v>848</v>
      </c>
      <c r="U51" s="299"/>
      <c r="V51" s="299"/>
      <c r="W51" s="300"/>
      <c r="X51" s="422"/>
    </row>
    <row r="52" spans="1:24" s="14" customFormat="1" ht="38.1" customHeight="1">
      <c r="A52" s="484"/>
      <c r="B52" s="428" t="s">
        <v>764</v>
      </c>
      <c r="C52" s="286" t="s">
        <v>765</v>
      </c>
      <c r="D52" s="286" t="s">
        <v>766</v>
      </c>
      <c r="E52" s="174">
        <v>10579.97</v>
      </c>
      <c r="F52" s="368">
        <f t="shared" si="8"/>
        <v>10579.97</v>
      </c>
      <c r="G52" s="370">
        <f t="shared" si="9"/>
        <v>1</v>
      </c>
      <c r="H52" s="368">
        <v>10579.97</v>
      </c>
      <c r="I52" s="368">
        <v>0</v>
      </c>
      <c r="J52" s="174">
        <v>0</v>
      </c>
      <c r="K52" s="174">
        <v>0</v>
      </c>
      <c r="L52" s="174">
        <v>0</v>
      </c>
      <c r="M52" s="174">
        <v>0</v>
      </c>
      <c r="N52" s="287">
        <v>0</v>
      </c>
      <c r="O52" s="176" t="s">
        <v>934</v>
      </c>
      <c r="P52" s="369">
        <v>42983</v>
      </c>
      <c r="Q52" s="369">
        <v>43062</v>
      </c>
      <c r="R52" s="286"/>
      <c r="S52" s="350">
        <v>43084</v>
      </c>
      <c r="T52" s="299" t="s">
        <v>851</v>
      </c>
      <c r="U52" s="299"/>
      <c r="V52" s="299"/>
      <c r="W52" s="300"/>
      <c r="X52" s="422"/>
    </row>
    <row r="53" spans="1:24" s="14" customFormat="1" ht="38.1" customHeight="1">
      <c r="A53" s="484"/>
      <c r="B53" s="428" t="s">
        <v>767</v>
      </c>
      <c r="C53" s="286" t="s">
        <v>765</v>
      </c>
      <c r="D53" s="286" t="s">
        <v>755</v>
      </c>
      <c r="E53" s="174">
        <v>30652.42</v>
      </c>
      <c r="F53" s="368">
        <f t="shared" si="8"/>
        <v>30046.31</v>
      </c>
      <c r="G53" s="370">
        <f t="shared" si="9"/>
        <v>1</v>
      </c>
      <c r="H53" s="368">
        <v>30046.31</v>
      </c>
      <c r="I53" s="368">
        <v>0</v>
      </c>
      <c r="J53" s="174">
        <v>0</v>
      </c>
      <c r="K53" s="174">
        <v>0</v>
      </c>
      <c r="L53" s="174">
        <v>0</v>
      </c>
      <c r="M53" s="174">
        <v>0</v>
      </c>
      <c r="N53" s="287">
        <v>0</v>
      </c>
      <c r="O53" s="176" t="s">
        <v>934</v>
      </c>
      <c r="P53" s="369">
        <v>42983</v>
      </c>
      <c r="Q53" s="369">
        <v>43062</v>
      </c>
      <c r="R53" s="286"/>
      <c r="S53" s="350">
        <v>43084</v>
      </c>
      <c r="T53" s="350" t="s">
        <v>920</v>
      </c>
      <c r="U53" s="299"/>
      <c r="V53" s="299"/>
      <c r="W53" s="300"/>
      <c r="X53" s="422"/>
    </row>
    <row r="54" spans="1:24" s="14" customFormat="1" ht="38.1" customHeight="1">
      <c r="A54" s="484"/>
      <c r="B54" s="428" t="s">
        <v>768</v>
      </c>
      <c r="C54" s="286" t="s">
        <v>765</v>
      </c>
      <c r="D54" s="286" t="s">
        <v>757</v>
      </c>
      <c r="E54" s="174">
        <v>14220.2</v>
      </c>
      <c r="F54" s="368">
        <f t="shared" si="8"/>
        <v>12851.19</v>
      </c>
      <c r="G54" s="370">
        <f t="shared" si="9"/>
        <v>1</v>
      </c>
      <c r="H54" s="368">
        <v>12851.19</v>
      </c>
      <c r="I54" s="368">
        <v>0</v>
      </c>
      <c r="J54" s="174">
        <v>0</v>
      </c>
      <c r="K54" s="174">
        <v>0</v>
      </c>
      <c r="L54" s="174">
        <v>0</v>
      </c>
      <c r="M54" s="174">
        <v>0</v>
      </c>
      <c r="N54" s="287">
        <v>0</v>
      </c>
      <c r="O54" s="176" t="s">
        <v>934</v>
      </c>
      <c r="P54" s="369">
        <v>42983</v>
      </c>
      <c r="Q54" s="369">
        <v>43062</v>
      </c>
      <c r="R54" s="286"/>
      <c r="S54" s="350">
        <v>43084</v>
      </c>
      <c r="T54" s="299" t="s">
        <v>853</v>
      </c>
      <c r="U54" s="299"/>
      <c r="V54" s="299"/>
      <c r="W54" s="300"/>
      <c r="X54" s="422"/>
    </row>
    <row r="55" spans="1:24" s="14" customFormat="1" ht="38.1" customHeight="1">
      <c r="A55" s="484"/>
      <c r="B55" s="428" t="s">
        <v>769</v>
      </c>
      <c r="C55" s="286" t="s">
        <v>765</v>
      </c>
      <c r="D55" s="286" t="s">
        <v>770</v>
      </c>
      <c r="E55" s="174">
        <v>4493.1400000000003</v>
      </c>
      <c r="F55" s="368">
        <f t="shared" si="8"/>
        <v>379.34</v>
      </c>
      <c r="G55" s="370">
        <f t="shared" si="9"/>
        <v>1</v>
      </c>
      <c r="H55" s="368">
        <v>379.34</v>
      </c>
      <c r="I55" s="368">
        <v>0</v>
      </c>
      <c r="J55" s="174">
        <v>0</v>
      </c>
      <c r="K55" s="174">
        <v>0</v>
      </c>
      <c r="L55" s="174">
        <v>0</v>
      </c>
      <c r="M55" s="174">
        <v>0</v>
      </c>
      <c r="N55" s="287">
        <v>0</v>
      </c>
      <c r="O55" s="176" t="s">
        <v>934</v>
      </c>
      <c r="P55" s="369">
        <v>42983</v>
      </c>
      <c r="Q55" s="369">
        <v>43062</v>
      </c>
      <c r="R55" s="286"/>
      <c r="S55" s="350">
        <v>43084</v>
      </c>
      <c r="T55" s="299" t="s">
        <v>852</v>
      </c>
      <c r="U55" s="299"/>
      <c r="V55" s="299"/>
      <c r="W55" s="300"/>
      <c r="X55" s="422"/>
    </row>
    <row r="56" spans="1:24" s="14" customFormat="1" ht="38.1" customHeight="1">
      <c r="A56" s="484"/>
      <c r="B56" s="428" t="s">
        <v>771</v>
      </c>
      <c r="C56" s="286" t="s">
        <v>765</v>
      </c>
      <c r="D56" s="286" t="s">
        <v>772</v>
      </c>
      <c r="E56" s="174">
        <v>2164.62</v>
      </c>
      <c r="F56" s="368">
        <f t="shared" si="8"/>
        <v>2164.62</v>
      </c>
      <c r="G56" s="370">
        <f t="shared" si="9"/>
        <v>1</v>
      </c>
      <c r="H56" s="368">
        <v>2164.62</v>
      </c>
      <c r="I56" s="368">
        <v>0</v>
      </c>
      <c r="J56" s="174">
        <v>0</v>
      </c>
      <c r="K56" s="174">
        <v>0</v>
      </c>
      <c r="L56" s="174">
        <v>0</v>
      </c>
      <c r="M56" s="174">
        <v>0</v>
      </c>
      <c r="N56" s="287">
        <v>0</v>
      </c>
      <c r="O56" s="176" t="s">
        <v>934</v>
      </c>
      <c r="P56" s="369">
        <v>42983</v>
      </c>
      <c r="Q56" s="369">
        <v>43062</v>
      </c>
      <c r="R56" s="286"/>
      <c r="S56" s="350">
        <v>43084</v>
      </c>
      <c r="T56" s="299" t="s">
        <v>855</v>
      </c>
      <c r="U56" s="299"/>
      <c r="V56" s="299"/>
      <c r="W56" s="300"/>
      <c r="X56" s="422"/>
    </row>
    <row r="57" spans="1:24" s="14" customFormat="1" ht="38.1" customHeight="1">
      <c r="A57" s="484"/>
      <c r="B57" s="428" t="s">
        <v>773</v>
      </c>
      <c r="C57" s="286" t="s">
        <v>765</v>
      </c>
      <c r="D57" s="286" t="s">
        <v>750</v>
      </c>
      <c r="E57" s="174">
        <v>896.08</v>
      </c>
      <c r="F57" s="368">
        <f t="shared" si="8"/>
        <v>765.81</v>
      </c>
      <c r="G57" s="370">
        <f t="shared" si="9"/>
        <v>1</v>
      </c>
      <c r="H57" s="368">
        <v>765.81</v>
      </c>
      <c r="I57" s="368">
        <v>0</v>
      </c>
      <c r="J57" s="174">
        <v>0</v>
      </c>
      <c r="K57" s="174">
        <v>0</v>
      </c>
      <c r="L57" s="174">
        <v>0</v>
      </c>
      <c r="M57" s="174">
        <v>0</v>
      </c>
      <c r="N57" s="287">
        <v>0</v>
      </c>
      <c r="O57" s="176" t="s">
        <v>934</v>
      </c>
      <c r="P57" s="369">
        <v>42983</v>
      </c>
      <c r="Q57" s="369">
        <v>43062</v>
      </c>
      <c r="R57" s="286"/>
      <c r="S57" s="350">
        <v>43084</v>
      </c>
      <c r="T57" s="299" t="s">
        <v>854</v>
      </c>
      <c r="U57" s="299"/>
      <c r="V57" s="299"/>
      <c r="W57" s="300"/>
      <c r="X57" s="422"/>
    </row>
    <row r="58" spans="1:24" s="14" customFormat="1" ht="38.1" customHeight="1">
      <c r="A58" s="484"/>
      <c r="B58" s="428" t="s">
        <v>774</v>
      </c>
      <c r="C58" s="286" t="s">
        <v>775</v>
      </c>
      <c r="D58" s="286" t="s">
        <v>766</v>
      </c>
      <c r="E58" s="174">
        <v>8226.82</v>
      </c>
      <c r="F58" s="368">
        <f t="shared" si="8"/>
        <v>675.78</v>
      </c>
      <c r="G58" s="370">
        <f t="shared" si="9"/>
        <v>1</v>
      </c>
      <c r="H58" s="368">
        <v>675.78</v>
      </c>
      <c r="I58" s="368">
        <v>0</v>
      </c>
      <c r="J58" s="174">
        <v>0</v>
      </c>
      <c r="K58" s="174">
        <v>0</v>
      </c>
      <c r="L58" s="174">
        <v>0</v>
      </c>
      <c r="M58" s="174">
        <v>0</v>
      </c>
      <c r="N58" s="287">
        <v>0</v>
      </c>
      <c r="O58" s="176" t="s">
        <v>934</v>
      </c>
      <c r="P58" s="369">
        <v>42983</v>
      </c>
      <c r="Q58" s="369">
        <v>43062</v>
      </c>
      <c r="R58" s="286"/>
      <c r="S58" s="350">
        <v>43084</v>
      </c>
      <c r="T58" s="299" t="s">
        <v>856</v>
      </c>
      <c r="U58" s="299"/>
      <c r="V58" s="299"/>
      <c r="W58" s="300"/>
      <c r="X58" s="422"/>
    </row>
    <row r="59" spans="1:24" s="14" customFormat="1" ht="38.1" customHeight="1">
      <c r="A59" s="484"/>
      <c r="B59" s="428" t="s">
        <v>787</v>
      </c>
      <c r="C59" s="286" t="s">
        <v>788</v>
      </c>
      <c r="D59" s="286" t="s">
        <v>718</v>
      </c>
      <c r="E59" s="174"/>
      <c r="F59" s="368">
        <f t="shared" si="8"/>
        <v>28524.95</v>
      </c>
      <c r="G59" s="370">
        <f t="shared" ref="G59:G61" si="10">H59/F59</f>
        <v>1</v>
      </c>
      <c r="H59" s="368">
        <v>28524.95</v>
      </c>
      <c r="I59" s="368">
        <v>0</v>
      </c>
      <c r="J59" s="174">
        <v>0</v>
      </c>
      <c r="K59" s="174">
        <v>0</v>
      </c>
      <c r="L59" s="174">
        <v>0</v>
      </c>
      <c r="M59" s="174">
        <v>0</v>
      </c>
      <c r="N59" s="287">
        <v>0</v>
      </c>
      <c r="O59" s="176"/>
      <c r="P59" s="369">
        <v>43112</v>
      </c>
      <c r="Q59" s="369">
        <v>43118</v>
      </c>
      <c r="R59" s="286"/>
      <c r="S59" s="350">
        <v>43133</v>
      </c>
      <c r="T59" s="299" t="s">
        <v>789</v>
      </c>
      <c r="U59" s="299"/>
      <c r="V59" s="299"/>
      <c r="W59" s="300"/>
      <c r="X59" s="422"/>
    </row>
    <row r="60" spans="1:24" s="14" customFormat="1" ht="38.1" customHeight="1">
      <c r="A60" s="484"/>
      <c r="B60" s="428" t="s">
        <v>790</v>
      </c>
      <c r="C60" s="286" t="s">
        <v>791</v>
      </c>
      <c r="D60" s="286" t="s">
        <v>792</v>
      </c>
      <c r="E60" s="174"/>
      <c r="F60" s="368">
        <f t="shared" si="8"/>
        <v>10266.89</v>
      </c>
      <c r="G60" s="370">
        <f t="shared" si="10"/>
        <v>1</v>
      </c>
      <c r="H60" s="368">
        <v>10266.89</v>
      </c>
      <c r="I60" s="368">
        <v>0</v>
      </c>
      <c r="J60" s="174">
        <v>0</v>
      </c>
      <c r="K60" s="174">
        <v>0</v>
      </c>
      <c r="L60" s="174">
        <v>0</v>
      </c>
      <c r="M60" s="174">
        <v>0</v>
      </c>
      <c r="N60" s="287">
        <v>0</v>
      </c>
      <c r="O60" s="176"/>
      <c r="P60" s="369">
        <v>43112</v>
      </c>
      <c r="Q60" s="369">
        <v>43118</v>
      </c>
      <c r="R60" s="286"/>
      <c r="S60" s="350">
        <v>43133</v>
      </c>
      <c r="T60" s="299" t="s">
        <v>793</v>
      </c>
      <c r="U60" s="299"/>
      <c r="V60" s="299"/>
      <c r="W60" s="300"/>
      <c r="X60" s="422"/>
    </row>
    <row r="61" spans="1:24" s="14" customFormat="1" ht="38.1" customHeight="1">
      <c r="A61" s="484"/>
      <c r="B61" s="428" t="s">
        <v>794</v>
      </c>
      <c r="C61" s="286" t="s">
        <v>791</v>
      </c>
      <c r="D61" s="286" t="s">
        <v>795</v>
      </c>
      <c r="E61" s="174"/>
      <c r="F61" s="368">
        <f t="shared" si="8"/>
        <v>2153.7800000000002</v>
      </c>
      <c r="G61" s="370">
        <f t="shared" si="10"/>
        <v>1</v>
      </c>
      <c r="H61" s="368">
        <v>2153.7800000000002</v>
      </c>
      <c r="I61" s="368">
        <v>0</v>
      </c>
      <c r="J61" s="174">
        <v>0</v>
      </c>
      <c r="K61" s="174">
        <v>0</v>
      </c>
      <c r="L61" s="174">
        <v>0</v>
      </c>
      <c r="M61" s="174">
        <v>0</v>
      </c>
      <c r="N61" s="287">
        <v>0</v>
      </c>
      <c r="O61" s="176"/>
      <c r="P61" s="369">
        <v>43112</v>
      </c>
      <c r="Q61" s="369">
        <v>43118</v>
      </c>
      <c r="R61" s="286"/>
      <c r="S61" s="350">
        <v>43133</v>
      </c>
      <c r="T61" s="299" t="s">
        <v>796</v>
      </c>
      <c r="U61" s="299"/>
      <c r="V61" s="299"/>
      <c r="W61" s="300"/>
      <c r="X61" s="422"/>
    </row>
    <row r="62" spans="1:24" s="14" customFormat="1" ht="54" customHeight="1">
      <c r="A62" s="484"/>
      <c r="B62" s="428" t="s">
        <v>797</v>
      </c>
      <c r="C62" s="286" t="s">
        <v>798</v>
      </c>
      <c r="D62" s="286" t="s">
        <v>745</v>
      </c>
      <c r="E62" s="174"/>
      <c r="F62" s="368">
        <f t="shared" si="8"/>
        <v>1185.3900000000001</v>
      </c>
      <c r="G62" s="370">
        <f t="shared" ref="G62:G65" si="11">H62/F62</f>
        <v>1</v>
      </c>
      <c r="H62" s="368">
        <v>1185.3900000000001</v>
      </c>
      <c r="I62" s="368">
        <v>0</v>
      </c>
      <c r="J62" s="174">
        <v>0</v>
      </c>
      <c r="K62" s="174">
        <v>0</v>
      </c>
      <c r="L62" s="174">
        <v>0</v>
      </c>
      <c r="M62" s="174">
        <v>0</v>
      </c>
      <c r="N62" s="287">
        <v>0</v>
      </c>
      <c r="O62" s="176"/>
      <c r="P62" s="369">
        <v>43112</v>
      </c>
      <c r="Q62" s="369">
        <v>43118</v>
      </c>
      <c r="R62" s="286"/>
      <c r="S62" s="350">
        <v>43133</v>
      </c>
      <c r="T62" s="299" t="s">
        <v>799</v>
      </c>
      <c r="U62" s="299"/>
      <c r="V62" s="299"/>
      <c r="W62" s="300"/>
      <c r="X62" s="422"/>
    </row>
    <row r="63" spans="1:24" s="14" customFormat="1" ht="49.5" customHeight="1">
      <c r="A63" s="484"/>
      <c r="B63" s="428" t="s">
        <v>800</v>
      </c>
      <c r="C63" s="286" t="s">
        <v>798</v>
      </c>
      <c r="D63" s="286" t="s">
        <v>779</v>
      </c>
      <c r="E63" s="174"/>
      <c r="F63" s="368">
        <f t="shared" si="8"/>
        <v>971.64</v>
      </c>
      <c r="G63" s="370">
        <f t="shared" si="11"/>
        <v>1</v>
      </c>
      <c r="H63" s="368">
        <v>971.64</v>
      </c>
      <c r="I63" s="368">
        <v>0</v>
      </c>
      <c r="J63" s="174">
        <v>0</v>
      </c>
      <c r="K63" s="174">
        <v>0</v>
      </c>
      <c r="L63" s="174">
        <v>0</v>
      </c>
      <c r="M63" s="174">
        <v>0</v>
      </c>
      <c r="N63" s="287">
        <v>0</v>
      </c>
      <c r="O63" s="350">
        <v>43109</v>
      </c>
      <c r="P63" s="369">
        <v>43112</v>
      </c>
      <c r="Q63" s="369">
        <v>43118</v>
      </c>
      <c r="R63" s="286"/>
      <c r="S63" s="350">
        <v>43133</v>
      </c>
      <c r="T63" s="299" t="s">
        <v>801</v>
      </c>
      <c r="U63" s="299"/>
      <c r="V63" s="299"/>
      <c r="W63" s="300"/>
      <c r="X63" s="422"/>
    </row>
    <row r="64" spans="1:24" s="14" customFormat="1" ht="49.5" customHeight="1">
      <c r="A64" s="484"/>
      <c r="B64" s="428" t="s">
        <v>802</v>
      </c>
      <c r="C64" s="286" t="s">
        <v>798</v>
      </c>
      <c r="D64" s="286" t="s">
        <v>786</v>
      </c>
      <c r="E64" s="174"/>
      <c r="F64" s="368">
        <f t="shared" si="8"/>
        <v>4678.66</v>
      </c>
      <c r="G64" s="370">
        <f t="shared" si="11"/>
        <v>1</v>
      </c>
      <c r="H64" s="368">
        <v>4678.66</v>
      </c>
      <c r="I64" s="368">
        <v>0</v>
      </c>
      <c r="J64" s="174">
        <v>0</v>
      </c>
      <c r="K64" s="174">
        <v>0</v>
      </c>
      <c r="L64" s="174">
        <v>0</v>
      </c>
      <c r="M64" s="174">
        <v>0</v>
      </c>
      <c r="N64" s="287">
        <v>0</v>
      </c>
      <c r="O64" s="176"/>
      <c r="P64" s="369">
        <v>43112</v>
      </c>
      <c r="Q64" s="369">
        <v>43118</v>
      </c>
      <c r="R64" s="286"/>
      <c r="S64" s="350">
        <v>43133</v>
      </c>
      <c r="T64" s="299" t="s">
        <v>803</v>
      </c>
      <c r="U64" s="299"/>
      <c r="V64" s="299"/>
      <c r="W64" s="300"/>
      <c r="X64" s="422"/>
    </row>
    <row r="65" spans="1:24" s="14" customFormat="1" ht="38.1" customHeight="1">
      <c r="A65" s="484"/>
      <c r="B65" s="428" t="s">
        <v>804</v>
      </c>
      <c r="C65" s="286" t="s">
        <v>791</v>
      </c>
      <c r="D65" s="286" t="s">
        <v>718</v>
      </c>
      <c r="E65" s="174"/>
      <c r="F65" s="368">
        <f t="shared" si="8"/>
        <v>33671.89</v>
      </c>
      <c r="G65" s="370">
        <f t="shared" si="11"/>
        <v>1</v>
      </c>
      <c r="H65" s="368">
        <v>33671.89</v>
      </c>
      <c r="I65" s="368">
        <v>0</v>
      </c>
      <c r="J65" s="174">
        <v>0</v>
      </c>
      <c r="K65" s="174">
        <v>0</v>
      </c>
      <c r="L65" s="174">
        <v>0</v>
      </c>
      <c r="M65" s="174">
        <v>0</v>
      </c>
      <c r="N65" s="287">
        <v>0</v>
      </c>
      <c r="O65" s="176"/>
      <c r="P65" s="369">
        <v>43112</v>
      </c>
      <c r="Q65" s="369">
        <v>43118</v>
      </c>
      <c r="R65" s="286"/>
      <c r="S65" s="350">
        <v>43133</v>
      </c>
      <c r="T65" s="299" t="s">
        <v>805</v>
      </c>
      <c r="U65" s="299"/>
      <c r="V65" s="299"/>
      <c r="W65" s="300"/>
      <c r="X65" s="422"/>
    </row>
    <row r="66" spans="1:24" s="14" customFormat="1" ht="38.1" customHeight="1">
      <c r="A66" s="484"/>
      <c r="B66" s="428" t="s">
        <v>807</v>
      </c>
      <c r="C66" s="286" t="s">
        <v>808</v>
      </c>
      <c r="D66" s="286" t="s">
        <v>809</v>
      </c>
      <c r="E66" s="174"/>
      <c r="F66" s="368">
        <f t="shared" si="8"/>
        <v>1817.37</v>
      </c>
      <c r="G66" s="370">
        <f t="shared" ref="G66:G67" si="12">H66/F66</f>
        <v>1</v>
      </c>
      <c r="H66" s="368">
        <v>1817.37</v>
      </c>
      <c r="I66" s="368">
        <v>0</v>
      </c>
      <c r="J66" s="174">
        <v>0</v>
      </c>
      <c r="K66" s="174">
        <v>0</v>
      </c>
      <c r="L66" s="174">
        <v>0</v>
      </c>
      <c r="M66" s="174">
        <v>0</v>
      </c>
      <c r="N66" s="287">
        <v>0</v>
      </c>
      <c r="O66" s="176"/>
      <c r="P66" s="369">
        <v>42983</v>
      </c>
      <c r="Q66" s="369">
        <v>43132</v>
      </c>
      <c r="R66" s="286"/>
      <c r="S66" s="350">
        <v>43160</v>
      </c>
      <c r="T66" s="299" t="s">
        <v>819</v>
      </c>
      <c r="U66" s="299"/>
      <c r="V66" s="299"/>
      <c r="W66" s="300"/>
      <c r="X66" s="422"/>
    </row>
    <row r="67" spans="1:24" s="14" customFormat="1" ht="38.1" customHeight="1">
      <c r="A67" s="484"/>
      <c r="B67" s="428" t="s">
        <v>810</v>
      </c>
      <c r="C67" s="286" t="s">
        <v>811</v>
      </c>
      <c r="D67" s="286" t="s">
        <v>809</v>
      </c>
      <c r="E67" s="174"/>
      <c r="F67" s="368">
        <f t="shared" si="8"/>
        <v>1189.01</v>
      </c>
      <c r="G67" s="370">
        <f t="shared" si="12"/>
        <v>1</v>
      </c>
      <c r="H67" s="368">
        <v>1189.01</v>
      </c>
      <c r="I67" s="368">
        <v>0</v>
      </c>
      <c r="J67" s="174">
        <v>0</v>
      </c>
      <c r="K67" s="174">
        <v>0</v>
      </c>
      <c r="L67" s="174">
        <v>0</v>
      </c>
      <c r="M67" s="174">
        <v>0</v>
      </c>
      <c r="N67" s="287">
        <v>0</v>
      </c>
      <c r="O67" s="176"/>
      <c r="P67" s="369">
        <v>42983</v>
      </c>
      <c r="Q67" s="369">
        <v>43132</v>
      </c>
      <c r="R67" s="286"/>
      <c r="S67" s="350">
        <v>43160</v>
      </c>
      <c r="T67" s="299" t="s">
        <v>812</v>
      </c>
      <c r="U67" s="299"/>
      <c r="V67" s="299"/>
      <c r="W67" s="300"/>
      <c r="X67" s="422"/>
    </row>
    <row r="68" spans="1:24" s="14" customFormat="1" ht="38.1" customHeight="1">
      <c r="A68" s="484"/>
      <c r="B68" s="428" t="s">
        <v>806</v>
      </c>
      <c r="C68" s="286" t="s">
        <v>811</v>
      </c>
      <c r="D68" s="286" t="s">
        <v>772</v>
      </c>
      <c r="E68" s="174"/>
      <c r="F68" s="368">
        <f t="shared" si="8"/>
        <v>3377.65</v>
      </c>
      <c r="G68" s="370">
        <f t="shared" ref="G68" si="13">H68/F68</f>
        <v>1</v>
      </c>
      <c r="H68" s="368">
        <v>3377.65</v>
      </c>
      <c r="I68" s="368">
        <v>0</v>
      </c>
      <c r="J68" s="174">
        <v>0</v>
      </c>
      <c r="K68" s="174">
        <v>0</v>
      </c>
      <c r="L68" s="174">
        <v>0</v>
      </c>
      <c r="M68" s="174">
        <v>0</v>
      </c>
      <c r="N68" s="287">
        <v>0</v>
      </c>
      <c r="O68" s="176"/>
      <c r="P68" s="369">
        <v>42983</v>
      </c>
      <c r="Q68" s="369">
        <v>43132</v>
      </c>
      <c r="R68" s="286"/>
      <c r="S68" s="350">
        <v>43160</v>
      </c>
      <c r="T68" s="299" t="s">
        <v>857</v>
      </c>
      <c r="U68" s="299"/>
      <c r="V68" s="299"/>
      <c r="W68" s="300"/>
      <c r="X68" s="422"/>
    </row>
    <row r="69" spans="1:24" s="14" customFormat="1" ht="38.1" customHeight="1">
      <c r="A69" s="484"/>
      <c r="B69" s="428" t="s">
        <v>813</v>
      </c>
      <c r="C69" s="286" t="s">
        <v>811</v>
      </c>
      <c r="D69" s="286" t="s">
        <v>779</v>
      </c>
      <c r="E69" s="174"/>
      <c r="F69" s="368">
        <f t="shared" si="8"/>
        <v>972.28</v>
      </c>
      <c r="G69" s="370">
        <f t="shared" ref="G69" si="14">H69/F69</f>
        <v>1</v>
      </c>
      <c r="H69" s="368">
        <v>972.28</v>
      </c>
      <c r="I69" s="368">
        <v>0</v>
      </c>
      <c r="J69" s="174">
        <v>0</v>
      </c>
      <c r="K69" s="174">
        <v>0</v>
      </c>
      <c r="L69" s="174">
        <v>0</v>
      </c>
      <c r="M69" s="174">
        <v>0</v>
      </c>
      <c r="N69" s="287">
        <v>0</v>
      </c>
      <c r="O69" s="176"/>
      <c r="P69" s="369">
        <v>42983</v>
      </c>
      <c r="Q69" s="369">
        <v>43132</v>
      </c>
      <c r="R69" s="286"/>
      <c r="S69" s="350">
        <v>43160</v>
      </c>
      <c r="T69" s="299" t="s">
        <v>780</v>
      </c>
      <c r="U69" s="299"/>
      <c r="V69" s="299"/>
      <c r="W69" s="300"/>
      <c r="X69" s="422"/>
    </row>
    <row r="70" spans="1:24" s="14" customFormat="1" ht="43.5" customHeight="1">
      <c r="A70" s="484"/>
      <c r="B70" s="428" t="s">
        <v>782</v>
      </c>
      <c r="C70" s="286" t="s">
        <v>781</v>
      </c>
      <c r="D70" s="286" t="s">
        <v>770</v>
      </c>
      <c r="E70" s="174"/>
      <c r="F70" s="368">
        <f t="shared" ref="F70:F75" si="15">H70+I70+J70+K70+L70+M70+N70</f>
        <v>10307.19</v>
      </c>
      <c r="G70" s="370">
        <f t="shared" ref="G70:G81" si="16">H70/F70</f>
        <v>1</v>
      </c>
      <c r="H70" s="368">
        <v>10307.19</v>
      </c>
      <c r="I70" s="368">
        <v>0</v>
      </c>
      <c r="J70" s="174">
        <v>0</v>
      </c>
      <c r="K70" s="174">
        <v>0</v>
      </c>
      <c r="L70" s="174">
        <v>0</v>
      </c>
      <c r="M70" s="174">
        <v>0</v>
      </c>
      <c r="N70" s="287">
        <v>0</v>
      </c>
      <c r="O70" s="176"/>
      <c r="P70" s="369">
        <v>43152</v>
      </c>
      <c r="Q70" s="369">
        <v>43167</v>
      </c>
      <c r="R70" s="286"/>
      <c r="S70" s="350">
        <v>43195</v>
      </c>
      <c r="T70" s="299" t="s">
        <v>814</v>
      </c>
      <c r="U70" s="299"/>
      <c r="V70" s="299"/>
      <c r="W70" s="300"/>
      <c r="X70" s="422"/>
    </row>
    <row r="71" spans="1:24" s="14" customFormat="1" ht="38.1" customHeight="1">
      <c r="A71" s="484"/>
      <c r="B71" s="428" t="s">
        <v>783</v>
      </c>
      <c r="C71" s="286" t="s">
        <v>784</v>
      </c>
      <c r="D71" s="286" t="s">
        <v>792</v>
      </c>
      <c r="E71" s="174"/>
      <c r="F71" s="368">
        <f t="shared" si="15"/>
        <v>20023.16</v>
      </c>
      <c r="G71" s="370">
        <f t="shared" si="16"/>
        <v>1</v>
      </c>
      <c r="H71" s="368">
        <v>20023.16</v>
      </c>
      <c r="I71" s="368">
        <v>0</v>
      </c>
      <c r="J71" s="174">
        <v>0</v>
      </c>
      <c r="K71" s="174">
        <v>0</v>
      </c>
      <c r="L71" s="174">
        <v>0</v>
      </c>
      <c r="M71" s="174">
        <v>0</v>
      </c>
      <c r="N71" s="287">
        <v>0</v>
      </c>
      <c r="O71" s="350"/>
      <c r="P71" s="369">
        <v>43172</v>
      </c>
      <c r="Q71" s="369">
        <v>43202</v>
      </c>
      <c r="R71" s="286"/>
      <c r="S71" s="350">
        <v>43216</v>
      </c>
      <c r="T71" s="299" t="s">
        <v>817</v>
      </c>
      <c r="U71" s="299"/>
      <c r="V71" s="299"/>
      <c r="W71" s="300"/>
      <c r="X71" s="422"/>
    </row>
    <row r="72" spans="1:24" s="14" customFormat="1" ht="38.1" customHeight="1">
      <c r="A72" s="484"/>
      <c r="B72" s="428" t="s">
        <v>785</v>
      </c>
      <c r="C72" s="286" t="s">
        <v>736</v>
      </c>
      <c r="D72" s="286" t="s">
        <v>786</v>
      </c>
      <c r="E72" s="174"/>
      <c r="F72" s="368">
        <f t="shared" si="15"/>
        <v>1948.87</v>
      </c>
      <c r="G72" s="370">
        <f t="shared" si="16"/>
        <v>1</v>
      </c>
      <c r="H72" s="368">
        <v>1948.87</v>
      </c>
      <c r="I72" s="368">
        <v>0</v>
      </c>
      <c r="J72" s="174">
        <v>0</v>
      </c>
      <c r="K72" s="174">
        <v>0</v>
      </c>
      <c r="L72" s="174">
        <v>0</v>
      </c>
      <c r="M72" s="174">
        <v>0</v>
      </c>
      <c r="N72" s="287">
        <v>0</v>
      </c>
      <c r="O72" s="176"/>
      <c r="P72" s="369">
        <v>42983</v>
      </c>
      <c r="Q72" s="369">
        <v>43202</v>
      </c>
      <c r="R72" s="286"/>
      <c r="S72" s="350">
        <v>43216</v>
      </c>
      <c r="T72" s="299" t="s">
        <v>818</v>
      </c>
      <c r="U72" s="299"/>
      <c r="V72" s="299"/>
      <c r="W72" s="300"/>
      <c r="X72" s="422"/>
    </row>
    <row r="73" spans="1:24" s="14" customFormat="1" ht="45.75" customHeight="1">
      <c r="A73" s="484"/>
      <c r="B73" s="428" t="s">
        <v>815</v>
      </c>
      <c r="C73" s="286" t="s">
        <v>781</v>
      </c>
      <c r="D73" s="286" t="s">
        <v>770</v>
      </c>
      <c r="E73" s="174"/>
      <c r="F73" s="368">
        <f t="shared" si="15"/>
        <v>5010.6899999999996</v>
      </c>
      <c r="G73" s="370">
        <f t="shared" si="16"/>
        <v>1</v>
      </c>
      <c r="H73" s="368">
        <v>5010.6899999999996</v>
      </c>
      <c r="I73" s="368">
        <v>0</v>
      </c>
      <c r="J73" s="174">
        <v>0</v>
      </c>
      <c r="K73" s="174">
        <v>0</v>
      </c>
      <c r="L73" s="174">
        <v>0</v>
      </c>
      <c r="M73" s="174">
        <v>0</v>
      </c>
      <c r="N73" s="287">
        <v>0</v>
      </c>
      <c r="O73" s="176"/>
      <c r="P73" s="369">
        <v>43152</v>
      </c>
      <c r="Q73" s="369">
        <v>43167</v>
      </c>
      <c r="R73" s="286"/>
      <c r="S73" s="350">
        <v>43195</v>
      </c>
      <c r="T73" s="299" t="s">
        <v>816</v>
      </c>
      <c r="U73" s="299"/>
      <c r="V73" s="299"/>
      <c r="W73" s="300"/>
      <c r="X73" s="422"/>
    </row>
    <row r="74" spans="1:24" s="14" customFormat="1" ht="35.25" customHeight="1">
      <c r="A74" s="484"/>
      <c r="B74" s="428" t="s">
        <v>911</v>
      </c>
      <c r="C74" s="286" t="s">
        <v>865</v>
      </c>
      <c r="D74" s="286" t="s">
        <v>750</v>
      </c>
      <c r="E74" s="174"/>
      <c r="F74" s="368">
        <f t="shared" si="15"/>
        <v>775.74</v>
      </c>
      <c r="G74" s="370">
        <f t="shared" si="16"/>
        <v>1</v>
      </c>
      <c r="H74" s="368">
        <v>775.74</v>
      </c>
      <c r="I74" s="368">
        <v>0</v>
      </c>
      <c r="J74" s="174">
        <v>0</v>
      </c>
      <c r="K74" s="174">
        <v>0</v>
      </c>
      <c r="L74" s="174">
        <v>0</v>
      </c>
      <c r="M74" s="174">
        <v>0</v>
      </c>
      <c r="N74" s="287">
        <v>0</v>
      </c>
      <c r="O74" s="350">
        <v>43312</v>
      </c>
      <c r="P74" s="369">
        <v>43318</v>
      </c>
      <c r="Q74" s="369">
        <v>43321</v>
      </c>
      <c r="R74" s="286"/>
      <c r="S74" s="350">
        <v>43334</v>
      </c>
      <c r="T74" s="350" t="s">
        <v>910</v>
      </c>
      <c r="U74" s="299"/>
      <c r="V74" s="299"/>
      <c r="W74" s="300"/>
      <c r="X74" s="422"/>
    </row>
    <row r="75" spans="1:24" s="14" customFormat="1" ht="39.75" customHeight="1">
      <c r="A75" s="484"/>
      <c r="B75" s="428" t="s">
        <v>867</v>
      </c>
      <c r="C75" s="286" t="s">
        <v>865</v>
      </c>
      <c r="D75" s="286" t="s">
        <v>795</v>
      </c>
      <c r="E75" s="174"/>
      <c r="F75" s="368">
        <f t="shared" si="15"/>
        <v>27153.83</v>
      </c>
      <c r="G75" s="370">
        <f t="shared" si="16"/>
        <v>1</v>
      </c>
      <c r="H75" s="368">
        <v>27153.83</v>
      </c>
      <c r="I75" s="368">
        <v>0</v>
      </c>
      <c r="J75" s="174">
        <v>0</v>
      </c>
      <c r="K75" s="174">
        <v>0</v>
      </c>
      <c r="L75" s="174">
        <v>0</v>
      </c>
      <c r="M75" s="174">
        <v>0</v>
      </c>
      <c r="N75" s="287">
        <v>0</v>
      </c>
      <c r="O75" s="350">
        <v>43312</v>
      </c>
      <c r="P75" s="369">
        <v>43318</v>
      </c>
      <c r="Q75" s="369">
        <v>43321</v>
      </c>
      <c r="R75" s="286"/>
      <c r="S75" s="350">
        <v>43334</v>
      </c>
      <c r="T75" s="350" t="s">
        <v>908</v>
      </c>
      <c r="U75" s="299"/>
      <c r="V75" s="299"/>
      <c r="W75" s="300"/>
      <c r="X75" s="422"/>
    </row>
    <row r="76" spans="1:24" s="14" customFormat="1" ht="36.75" customHeight="1">
      <c r="A76" s="484"/>
      <c r="B76" s="428" t="s">
        <v>864</v>
      </c>
      <c r="C76" s="286" t="s">
        <v>865</v>
      </c>
      <c r="D76" s="286" t="s">
        <v>786</v>
      </c>
      <c r="E76" s="174"/>
      <c r="F76" s="368">
        <f t="shared" ref="F76:F78" si="17">H76+I76+J76+K76+L76+M76+N76</f>
        <v>5077.6000000000004</v>
      </c>
      <c r="G76" s="370">
        <f t="shared" si="16"/>
        <v>1</v>
      </c>
      <c r="H76" s="368">
        <v>5077.6000000000004</v>
      </c>
      <c r="I76" s="368">
        <v>0</v>
      </c>
      <c r="J76" s="174">
        <v>0</v>
      </c>
      <c r="K76" s="174">
        <v>0</v>
      </c>
      <c r="L76" s="174">
        <v>0</v>
      </c>
      <c r="M76" s="174">
        <v>0</v>
      </c>
      <c r="N76" s="287">
        <v>0</v>
      </c>
      <c r="O76" s="350">
        <v>43312</v>
      </c>
      <c r="P76" s="369">
        <v>43318</v>
      </c>
      <c r="Q76" s="369">
        <v>43321</v>
      </c>
      <c r="R76" s="286"/>
      <c r="S76" s="350">
        <v>43334</v>
      </c>
      <c r="T76" s="350" t="s">
        <v>909</v>
      </c>
      <c r="U76" s="299"/>
      <c r="V76" s="299"/>
      <c r="W76" s="300"/>
      <c r="X76" s="422"/>
    </row>
    <row r="77" spans="1:24" s="14" customFormat="1" ht="30" customHeight="1">
      <c r="A77" s="484"/>
      <c r="B77" s="428" t="s">
        <v>878</v>
      </c>
      <c r="C77" s="372" t="s">
        <v>879</v>
      </c>
      <c r="D77" s="372" t="s">
        <v>880</v>
      </c>
      <c r="E77" s="375">
        <v>2672.15</v>
      </c>
      <c r="F77" s="368">
        <f t="shared" si="17"/>
        <v>2672.15</v>
      </c>
      <c r="G77" s="370">
        <f t="shared" si="16"/>
        <v>1</v>
      </c>
      <c r="H77" s="368">
        <v>2672.15</v>
      </c>
      <c r="I77" s="368">
        <v>0</v>
      </c>
      <c r="J77" s="174">
        <v>0</v>
      </c>
      <c r="K77" s="174">
        <v>0</v>
      </c>
      <c r="L77" s="174">
        <v>0</v>
      </c>
      <c r="M77" s="174">
        <v>0</v>
      </c>
      <c r="N77" s="287">
        <v>0</v>
      </c>
      <c r="O77" s="350">
        <v>43374</v>
      </c>
      <c r="P77" s="369">
        <v>43378</v>
      </c>
      <c r="Q77" s="369">
        <v>43391</v>
      </c>
      <c r="R77" s="286"/>
      <c r="S77" s="350">
        <v>43411</v>
      </c>
      <c r="T77" s="299" t="s">
        <v>892</v>
      </c>
      <c r="U77" s="299"/>
      <c r="V77" s="299"/>
      <c r="W77" s="300"/>
      <c r="X77" s="422"/>
    </row>
    <row r="78" spans="1:24" s="14" customFormat="1" ht="34.5" customHeight="1">
      <c r="A78" s="484"/>
      <c r="B78" s="429" t="s">
        <v>895</v>
      </c>
      <c r="C78" s="383" t="s">
        <v>896</v>
      </c>
      <c r="D78" s="383" t="s">
        <v>897</v>
      </c>
      <c r="E78" s="384">
        <v>14061.62</v>
      </c>
      <c r="F78" s="385">
        <f t="shared" si="17"/>
        <v>9236.33</v>
      </c>
      <c r="G78" s="386">
        <f t="shared" si="16"/>
        <v>1</v>
      </c>
      <c r="H78" s="392">
        <v>9236.33</v>
      </c>
      <c r="I78" s="385">
        <v>0</v>
      </c>
      <c r="J78" s="387">
        <v>0</v>
      </c>
      <c r="K78" s="387">
        <v>0</v>
      </c>
      <c r="L78" s="387">
        <v>0</v>
      </c>
      <c r="M78" s="387">
        <v>0</v>
      </c>
      <c r="N78" s="388">
        <v>0</v>
      </c>
      <c r="O78" s="389">
        <v>43047</v>
      </c>
      <c r="P78" s="390">
        <v>43053</v>
      </c>
      <c r="Q78" s="390">
        <v>43447</v>
      </c>
      <c r="R78" s="391"/>
      <c r="S78" s="389"/>
      <c r="T78" s="389"/>
      <c r="U78" s="389"/>
      <c r="V78" s="299"/>
      <c r="W78" s="300"/>
      <c r="X78" s="422"/>
    </row>
    <row r="79" spans="1:24" s="14" customFormat="1" ht="31.5" customHeight="1">
      <c r="A79" s="484"/>
      <c r="B79" s="429" t="s">
        <v>898</v>
      </c>
      <c r="C79" s="383" t="s">
        <v>899</v>
      </c>
      <c r="D79" s="393" t="s">
        <v>900</v>
      </c>
      <c r="E79" s="384">
        <v>7615.52</v>
      </c>
      <c r="F79" s="385">
        <f t="shared" ref="F79:F81" si="18">H79+I79+J79+K79+L79+M79+N79</f>
        <v>6973.99</v>
      </c>
      <c r="G79" s="386">
        <f t="shared" si="16"/>
        <v>1</v>
      </c>
      <c r="H79" s="392">
        <v>6973.99</v>
      </c>
      <c r="I79" s="385">
        <v>0</v>
      </c>
      <c r="J79" s="387">
        <v>0</v>
      </c>
      <c r="K79" s="387">
        <v>0</v>
      </c>
      <c r="L79" s="387">
        <v>0</v>
      </c>
      <c r="M79" s="387">
        <v>0</v>
      </c>
      <c r="N79" s="388">
        <v>0</v>
      </c>
      <c r="O79" s="389">
        <v>43047</v>
      </c>
      <c r="P79" s="390">
        <v>43053</v>
      </c>
      <c r="Q79" s="390">
        <v>43447</v>
      </c>
      <c r="R79" s="391"/>
      <c r="S79" s="389"/>
      <c r="T79" s="389"/>
      <c r="U79" s="389"/>
      <c r="V79" s="299"/>
      <c r="W79" s="300"/>
      <c r="X79" s="422"/>
    </row>
    <row r="80" spans="1:24" s="14" customFormat="1" ht="46.5" customHeight="1">
      <c r="A80" s="484"/>
      <c r="B80" s="429" t="s">
        <v>901</v>
      </c>
      <c r="C80" s="383" t="s">
        <v>902</v>
      </c>
      <c r="D80" s="383" t="s">
        <v>880</v>
      </c>
      <c r="E80" s="384">
        <v>2987.74</v>
      </c>
      <c r="F80" s="385">
        <f t="shared" si="18"/>
        <v>2917.26</v>
      </c>
      <c r="G80" s="386">
        <f t="shared" si="16"/>
        <v>1</v>
      </c>
      <c r="H80" s="392">
        <v>2917.26</v>
      </c>
      <c r="I80" s="385">
        <v>0</v>
      </c>
      <c r="J80" s="387">
        <v>0</v>
      </c>
      <c r="K80" s="387">
        <v>0</v>
      </c>
      <c r="L80" s="387">
        <v>0</v>
      </c>
      <c r="M80" s="387">
        <v>0</v>
      </c>
      <c r="N80" s="388">
        <v>0</v>
      </c>
      <c r="O80" s="389">
        <v>42943</v>
      </c>
      <c r="P80" s="390">
        <v>43172</v>
      </c>
      <c r="Q80" s="390">
        <v>43447</v>
      </c>
      <c r="R80" s="391"/>
      <c r="S80" s="389"/>
      <c r="T80" s="389"/>
      <c r="U80" s="389"/>
      <c r="V80" s="299"/>
      <c r="W80" s="300"/>
      <c r="X80" s="422"/>
    </row>
    <row r="81" spans="1:24" s="14" customFormat="1" ht="41.25" customHeight="1">
      <c r="A81" s="484"/>
      <c r="B81" s="429" t="s">
        <v>903</v>
      </c>
      <c r="C81" s="383" t="s">
        <v>904</v>
      </c>
      <c r="D81" s="383" t="s">
        <v>905</v>
      </c>
      <c r="E81" s="384">
        <v>77.349999999999994</v>
      </c>
      <c r="F81" s="385">
        <f t="shared" si="18"/>
        <v>68.510000000000005</v>
      </c>
      <c r="G81" s="386">
        <f t="shared" si="16"/>
        <v>1</v>
      </c>
      <c r="H81" s="392">
        <v>68.510000000000005</v>
      </c>
      <c r="I81" s="385">
        <v>0</v>
      </c>
      <c r="J81" s="387">
        <v>0</v>
      </c>
      <c r="K81" s="387">
        <v>0</v>
      </c>
      <c r="L81" s="387">
        <v>0</v>
      </c>
      <c r="M81" s="387">
        <v>0</v>
      </c>
      <c r="N81" s="388">
        <v>0</v>
      </c>
      <c r="O81" s="389">
        <v>42780</v>
      </c>
      <c r="P81" s="390">
        <v>42815</v>
      </c>
      <c r="Q81" s="390">
        <v>43447</v>
      </c>
      <c r="R81" s="391"/>
      <c r="S81" s="389"/>
      <c r="T81" s="389"/>
      <c r="U81" s="389"/>
      <c r="V81" s="299"/>
      <c r="W81" s="300"/>
      <c r="X81" s="422"/>
    </row>
    <row r="82" spans="1:24" s="14" customFormat="1" ht="44.25" customHeight="1">
      <c r="A82" s="484"/>
      <c r="B82" s="429" t="s">
        <v>906</v>
      </c>
      <c r="C82" s="383" t="s">
        <v>907</v>
      </c>
      <c r="D82" s="383" t="s">
        <v>880</v>
      </c>
      <c r="E82" s="384">
        <v>1156.6099999999999</v>
      </c>
      <c r="F82" s="385">
        <f>H82+I82+J82+K82+L82+M82+N82</f>
        <v>1543.95</v>
      </c>
      <c r="G82" s="386">
        <f>(H82+I82+J82+K82)/F82</f>
        <v>1</v>
      </c>
      <c r="H82" s="392">
        <v>1150.48</v>
      </c>
      <c r="I82" s="385">
        <v>0</v>
      </c>
      <c r="J82" s="384">
        <v>393.47</v>
      </c>
      <c r="K82" s="387">
        <v>0</v>
      </c>
      <c r="L82" s="387">
        <v>0</v>
      </c>
      <c r="M82" s="387">
        <v>0</v>
      </c>
      <c r="N82" s="388">
        <v>0</v>
      </c>
      <c r="O82" s="389">
        <v>42976</v>
      </c>
      <c r="P82" s="390">
        <v>42983</v>
      </c>
      <c r="Q82" s="390">
        <v>43447</v>
      </c>
      <c r="R82" s="391"/>
      <c r="S82" s="389"/>
      <c r="T82" s="389"/>
      <c r="U82" s="389"/>
      <c r="V82" s="299"/>
      <c r="W82" s="300"/>
      <c r="X82" s="422"/>
    </row>
    <row r="83" spans="1:24" s="1" customFormat="1" ht="22.5" customHeight="1">
      <c r="A83" s="481" t="s">
        <v>733</v>
      </c>
      <c r="B83" s="481"/>
      <c r="C83" s="481"/>
      <c r="D83" s="481"/>
      <c r="E83" s="361">
        <f>SUM(E8:E82)</f>
        <v>7242978.4499999983</v>
      </c>
      <c r="F83" s="361">
        <f>SUM(F26:F82)</f>
        <v>391038.97000000015</v>
      </c>
      <c r="G83" s="360">
        <f>(H83+I83+J83+K83+L83)/F83</f>
        <v>0.99999999999999989</v>
      </c>
      <c r="H83" s="361">
        <f t="shared" ref="H83:N83" si="19">SUM(H26:H82)</f>
        <v>390645.50000000012</v>
      </c>
      <c r="I83" s="361">
        <f t="shared" si="19"/>
        <v>0</v>
      </c>
      <c r="J83" s="361">
        <f t="shared" si="19"/>
        <v>393.47</v>
      </c>
      <c r="K83" s="361">
        <f t="shared" si="19"/>
        <v>0</v>
      </c>
      <c r="L83" s="361">
        <f t="shared" si="19"/>
        <v>0</v>
      </c>
      <c r="M83" s="361">
        <f t="shared" si="19"/>
        <v>0</v>
      </c>
      <c r="N83" s="361">
        <f t="shared" si="19"/>
        <v>0</v>
      </c>
      <c r="O83" s="381"/>
      <c r="P83" s="326">
        <f>COUNTA(B8:B82)</f>
        <v>66</v>
      </c>
      <c r="Q83" s="379"/>
      <c r="R83" s="379"/>
      <c r="S83" s="379"/>
      <c r="T83" s="379"/>
      <c r="U83" s="327"/>
      <c r="V83" s="327"/>
      <c r="W83" s="327"/>
      <c r="X83" s="422"/>
    </row>
    <row r="84" spans="1:24" s="14" customFormat="1" ht="38.1" customHeight="1">
      <c r="A84" s="438" t="s">
        <v>820</v>
      </c>
      <c r="B84" s="428" t="s">
        <v>821</v>
      </c>
      <c r="C84" s="286" t="s">
        <v>822</v>
      </c>
      <c r="D84" s="286" t="s">
        <v>823</v>
      </c>
      <c r="E84" s="174">
        <v>289843.06</v>
      </c>
      <c r="F84" s="45">
        <f>H84+I84+J84+K84+L84+N84</f>
        <v>289843.06</v>
      </c>
      <c r="G84" s="370">
        <f>H84/F84</f>
        <v>0.75000001725071486</v>
      </c>
      <c r="H84" s="368">
        <v>217382.3</v>
      </c>
      <c r="I84" s="368">
        <v>72460.759999999995</v>
      </c>
      <c r="J84" s="174">
        <v>0</v>
      </c>
      <c r="K84" s="174">
        <v>0</v>
      </c>
      <c r="L84" s="174">
        <v>0</v>
      </c>
      <c r="M84" s="174">
        <v>0</v>
      </c>
      <c r="N84" s="287">
        <v>0</v>
      </c>
      <c r="O84" s="350">
        <v>43196</v>
      </c>
      <c r="P84" s="369">
        <v>43202</v>
      </c>
      <c r="Q84" s="369">
        <v>43223</v>
      </c>
      <c r="R84" s="369">
        <v>43256</v>
      </c>
      <c r="S84" s="350">
        <v>43279</v>
      </c>
      <c r="T84" s="299" t="s">
        <v>824</v>
      </c>
      <c r="U84" s="299"/>
      <c r="V84" s="299"/>
      <c r="W84" s="300"/>
      <c r="X84" s="422"/>
    </row>
    <row r="85" spans="1:24" s="14" customFormat="1" ht="38.1" customHeight="1">
      <c r="A85" s="438" t="s">
        <v>937</v>
      </c>
      <c r="B85" s="428" t="s">
        <v>875</v>
      </c>
      <c r="C85" s="286" t="s">
        <v>876</v>
      </c>
      <c r="D85" s="286" t="s">
        <v>823</v>
      </c>
      <c r="E85" s="289">
        <v>414386.7</v>
      </c>
      <c r="F85" s="368">
        <f>H85+I85+J85+K85+L85+N85</f>
        <v>414386.7</v>
      </c>
      <c r="G85" s="370">
        <f>H85/F85</f>
        <v>0.7500000120660244</v>
      </c>
      <c r="H85" s="368">
        <v>310790.03000000003</v>
      </c>
      <c r="I85" s="368">
        <v>103596.67</v>
      </c>
      <c r="J85" s="174">
        <v>0</v>
      </c>
      <c r="K85" s="174">
        <v>0</v>
      </c>
      <c r="L85" s="174">
        <v>0</v>
      </c>
      <c r="M85" s="174">
        <v>0</v>
      </c>
      <c r="N85" s="287">
        <v>0</v>
      </c>
      <c r="O85" s="350">
        <v>43312</v>
      </c>
      <c r="P85" s="369">
        <v>43318</v>
      </c>
      <c r="Q85" s="369">
        <v>43321</v>
      </c>
      <c r="R85" s="369">
        <v>43364</v>
      </c>
      <c r="S85" s="350">
        <v>43399</v>
      </c>
      <c r="T85" s="299" t="s">
        <v>877</v>
      </c>
      <c r="U85" s="299"/>
      <c r="V85" s="299"/>
      <c r="W85" s="300"/>
      <c r="X85" s="422"/>
    </row>
    <row r="86" spans="1:24" s="1" customFormat="1" ht="22.5" customHeight="1">
      <c r="A86" s="481" t="s">
        <v>830</v>
      </c>
      <c r="B86" s="481"/>
      <c r="C86" s="481"/>
      <c r="D86" s="481"/>
      <c r="E86" s="361">
        <f>SUM(E84:E85)</f>
        <v>704229.76</v>
      </c>
      <c r="F86" s="361">
        <f>SUM(F84:F85)</f>
        <v>704229.76</v>
      </c>
      <c r="G86" s="360">
        <f>(H86+I86+J86+K86+L86)/F86</f>
        <v>1</v>
      </c>
      <c r="H86" s="361">
        <f>SUM(H84:H85)</f>
        <v>528172.33000000007</v>
      </c>
      <c r="I86" s="361">
        <f>SUM(I84:I85)</f>
        <v>176057.43</v>
      </c>
      <c r="J86" s="361">
        <f t="shared" ref="J86:N86" si="20">SUM(J84:J85)</f>
        <v>0</v>
      </c>
      <c r="K86" s="361">
        <f t="shared" si="20"/>
        <v>0</v>
      </c>
      <c r="L86" s="361">
        <f t="shared" si="20"/>
        <v>0</v>
      </c>
      <c r="M86" s="361">
        <f>SUM(M84:M85)</f>
        <v>0</v>
      </c>
      <c r="N86" s="361">
        <f t="shared" si="20"/>
        <v>0</v>
      </c>
      <c r="O86" s="381"/>
      <c r="P86" s="326">
        <f>COUNTA(B84:B85)</f>
        <v>2</v>
      </c>
      <c r="Q86" s="379"/>
      <c r="R86" s="379"/>
      <c r="S86" s="379"/>
      <c r="T86" s="379"/>
      <c r="U86" s="327"/>
      <c r="V86" s="327"/>
      <c r="W86" s="327"/>
      <c r="X86" s="422"/>
    </row>
    <row r="87" spans="1:24" ht="12.75" customHeight="1">
      <c r="A87" s="12"/>
      <c r="B87" s="430"/>
      <c r="C87" s="3"/>
      <c r="D87" s="3"/>
      <c r="E87" s="40"/>
      <c r="F87" s="4"/>
    </row>
    <row r="88" spans="1:24" s="398" customFormat="1" ht="27.75" customHeight="1">
      <c r="A88" s="477" t="s">
        <v>732</v>
      </c>
      <c r="B88" s="477"/>
      <c r="C88" s="477"/>
      <c r="D88" s="477"/>
      <c r="E88" s="421">
        <f>E86+E83+E25+E23+E21+E19+E15+E13</f>
        <v>11426688.239999996</v>
      </c>
      <c r="F88" s="394">
        <f>F86+F83+F23+F15+F13+F19+F21+F25</f>
        <v>4574504.7599999988</v>
      </c>
      <c r="G88" s="395">
        <f>(H88+I88+J88+K88+L88)/F88</f>
        <v>0.84366766075897615</v>
      </c>
      <c r="H88" s="394">
        <f>H86+H83+H23+H15+H13+H19+H21+H25</f>
        <v>2988120.64</v>
      </c>
      <c r="I88" s="394">
        <f>I86+I83+I23+I15+I13+I19+I21+I25</f>
        <v>768644.01</v>
      </c>
      <c r="J88" s="394">
        <f t="shared" ref="J88:N88" si="21">J86+J83+J23+J15+J13+J19+J21+J25</f>
        <v>100132.89</v>
      </c>
      <c r="K88" s="394">
        <f t="shared" si="21"/>
        <v>0</v>
      </c>
      <c r="L88" s="394">
        <f t="shared" si="21"/>
        <v>2464.19</v>
      </c>
      <c r="M88" s="394">
        <f t="shared" si="21"/>
        <v>638521.38</v>
      </c>
      <c r="N88" s="394">
        <f t="shared" si="21"/>
        <v>76621.649999999994</v>
      </c>
      <c r="O88" s="396"/>
      <c r="P88" s="397">
        <f>P86+P83+P23+P13+P25+P21+P19+P15</f>
        <v>76</v>
      </c>
      <c r="R88" s="399"/>
      <c r="S88" s="399"/>
      <c r="T88" s="399"/>
      <c r="U88" s="399"/>
      <c r="V88" s="399"/>
      <c r="W88" s="399"/>
    </row>
    <row r="89" spans="1:24" ht="21">
      <c r="A89" s="443"/>
      <c r="B89" s="435"/>
      <c r="C89" s="5"/>
      <c r="D89" s="5"/>
      <c r="E89" s="5"/>
      <c r="F89" s="4"/>
      <c r="G89" s="5"/>
      <c r="K89" s="5"/>
      <c r="L89" s="5"/>
      <c r="M89" s="5"/>
      <c r="N89" s="5"/>
      <c r="O89" s="5"/>
      <c r="P89" s="5"/>
      <c r="Q89" s="31"/>
      <c r="R89" s="5"/>
      <c r="S89" s="5"/>
      <c r="T89" s="5"/>
      <c r="U89" s="5"/>
      <c r="V89" s="5"/>
    </row>
    <row r="90" spans="1:24">
      <c r="F90" s="4"/>
      <c r="J90" s="52"/>
      <c r="K90" s="4"/>
    </row>
    <row r="91" spans="1:24">
      <c r="F91" s="4"/>
      <c r="G91" s="4"/>
      <c r="H91" s="4"/>
      <c r="I91" s="4"/>
      <c r="J91" s="4"/>
    </row>
    <row r="92" spans="1:24">
      <c r="F92" s="4"/>
    </row>
    <row r="93" spans="1:24">
      <c r="F93" s="4"/>
    </row>
    <row r="97" spans="18:18">
      <c r="R97" s="40"/>
    </row>
    <row r="98" spans="18:18">
      <c r="R98" s="40"/>
    </row>
    <row r="99" spans="18:18">
      <c r="R99" s="41"/>
    </row>
    <row r="100" spans="18:18">
      <c r="R100" s="42"/>
    </row>
    <row r="101" spans="18:18">
      <c r="R101" s="42"/>
    </row>
    <row r="102" spans="18:18">
      <c r="R102" s="42"/>
    </row>
    <row r="103" spans="18:18">
      <c r="R103" s="41"/>
    </row>
    <row r="104" spans="18:18">
      <c r="R104" s="42"/>
    </row>
    <row r="105" spans="18:18">
      <c r="R105" s="42"/>
    </row>
    <row r="106" spans="18:18">
      <c r="R106" s="41"/>
    </row>
    <row r="107" spans="18:18">
      <c r="R107" s="41"/>
    </row>
    <row r="108" spans="18:18">
      <c r="R108" s="41"/>
    </row>
    <row r="109" spans="18:18">
      <c r="R109" s="41"/>
    </row>
    <row r="110" spans="18:18">
      <c r="R110" s="41"/>
    </row>
    <row r="111" spans="18:18">
      <c r="R111" s="41"/>
    </row>
    <row r="112" spans="18:18">
      <c r="R112" s="41"/>
    </row>
    <row r="113" spans="17:18">
      <c r="R113" s="41"/>
    </row>
    <row r="114" spans="17:18">
      <c r="R114" s="41"/>
    </row>
    <row r="115" spans="17:18">
      <c r="R115" s="41"/>
    </row>
    <row r="116" spans="17:18">
      <c r="R116" s="41"/>
    </row>
    <row r="117" spans="17:18">
      <c r="Q117" s="40"/>
      <c r="R117" s="41"/>
    </row>
    <row r="118" spans="17:18">
      <c r="Q118" s="40"/>
      <c r="R118" s="41"/>
    </row>
    <row r="119" spans="17:18">
      <c r="Q119" s="40"/>
      <c r="R119" s="41"/>
    </row>
    <row r="120" spans="17:18">
      <c r="Q120" s="40"/>
      <c r="R120" s="40"/>
    </row>
    <row r="121" spans="17:18">
      <c r="Q121" s="40"/>
    </row>
  </sheetData>
  <sheetProtection formatColumns="0" formatRows="0" sort="0" autoFilter="0"/>
  <mergeCells count="13">
    <mergeCell ref="A88:D88"/>
    <mergeCell ref="A6:G6"/>
    <mergeCell ref="A15:D15"/>
    <mergeCell ref="A8:D8"/>
    <mergeCell ref="A86:D86"/>
    <mergeCell ref="A83:D83"/>
    <mergeCell ref="A23:D23"/>
    <mergeCell ref="A13:D13"/>
    <mergeCell ref="A11:A12"/>
    <mergeCell ref="A21:D21"/>
    <mergeCell ref="A25:D25"/>
    <mergeCell ref="A19:D19"/>
    <mergeCell ref="A26:A82"/>
  </mergeCells>
  <pageMargins left="0.7" right="0.7" top="0.75" bottom="0.75" header="0.3" footer="0.3"/>
  <pageSetup paperSize="8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110"/>
  <sheetViews>
    <sheetView tabSelected="1" topLeftCell="A7" zoomScaleNormal="100" zoomScalePageLayoutView="40" workbookViewId="0">
      <selection activeCell="B44" sqref="B44"/>
    </sheetView>
  </sheetViews>
  <sheetFormatPr baseColWidth="10" defaultColWidth="11.42578125" defaultRowHeight="15"/>
  <cols>
    <col min="1" max="1" width="23.42578125" style="7" customWidth="1"/>
    <col min="2" max="3" width="41.42578125" style="7" customWidth="1"/>
    <col min="4" max="4" width="45.42578125" style="466" customWidth="1"/>
    <col min="5" max="11" width="41.42578125" style="7" customWidth="1"/>
    <col min="12" max="12" width="37.7109375" style="470" customWidth="1"/>
    <col min="13" max="13" width="23.140625" style="7" hidden="1" customWidth="1"/>
    <col min="14" max="14" width="0.140625" style="7" hidden="1" customWidth="1"/>
    <col min="15" max="15" width="15" style="7" hidden="1" customWidth="1"/>
    <col min="16" max="16" width="14.7109375" style="7" hidden="1" customWidth="1"/>
    <col min="17" max="17" width="0.140625" style="7" hidden="1" customWidth="1"/>
    <col min="18" max="18" width="15.5703125" style="7" hidden="1" customWidth="1"/>
    <col min="19" max="19" width="4.28515625" style="7" hidden="1" customWidth="1"/>
    <col min="20" max="26" width="45.7109375" style="7" customWidth="1"/>
    <col min="27" max="16384" width="11.42578125" style="7"/>
  </cols>
  <sheetData>
    <row r="3" spans="1:19" ht="105.75" customHeight="1"/>
    <row r="4" spans="1:19" ht="49.5" customHeight="1"/>
    <row r="5" spans="1:19">
      <c r="A5" s="490" t="s">
        <v>999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</row>
    <row r="6" spans="1:19">
      <c r="A6" s="490"/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</row>
    <row r="7" spans="1:19">
      <c r="A7" s="490"/>
      <c r="B7" s="490"/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9" ht="10.5" customHeight="1">
      <c r="K8" s="476"/>
      <c r="L8" s="469"/>
      <c r="M8" s="34"/>
      <c r="N8" s="34"/>
      <c r="O8" s="34"/>
      <c r="P8" s="34"/>
      <c r="Q8" s="34"/>
      <c r="R8" s="34"/>
      <c r="S8" s="34"/>
    </row>
    <row r="9" spans="1:19" ht="21" customHeight="1">
      <c r="A9" s="476"/>
      <c r="B9" s="476"/>
      <c r="C9" s="476"/>
      <c r="D9" s="476"/>
      <c r="E9" s="491" t="s">
        <v>1000</v>
      </c>
      <c r="F9" s="491"/>
      <c r="G9" s="491"/>
      <c r="H9" s="491"/>
      <c r="I9" s="476"/>
      <c r="J9" s="476"/>
      <c r="K9" s="492" t="s">
        <v>1001</v>
      </c>
      <c r="L9" s="492"/>
      <c r="M9" s="6"/>
      <c r="N9" s="6"/>
      <c r="O9" s="6"/>
      <c r="P9" s="6"/>
      <c r="Q9" s="6"/>
      <c r="R9" s="6"/>
      <c r="S9" s="6"/>
    </row>
    <row r="10" spans="1:19" ht="12" customHeight="1">
      <c r="L10" s="471"/>
      <c r="M10" s="6"/>
      <c r="N10" s="6"/>
      <c r="O10" s="6"/>
      <c r="P10" s="6"/>
      <c r="Q10" s="6"/>
      <c r="R10" s="6"/>
      <c r="S10" s="6"/>
    </row>
    <row r="11" spans="1:19" s="1" customFormat="1" ht="43.5" customHeight="1">
      <c r="A11" s="275" t="s">
        <v>978</v>
      </c>
      <c r="B11" s="275" t="s">
        <v>979</v>
      </c>
      <c r="C11" s="275" t="s">
        <v>980</v>
      </c>
      <c r="D11" s="275" t="s">
        <v>981</v>
      </c>
      <c r="E11" s="275" t="s">
        <v>982</v>
      </c>
      <c r="F11" s="275" t="s">
        <v>983</v>
      </c>
      <c r="G11" s="275" t="s">
        <v>984</v>
      </c>
      <c r="H11" s="275" t="s">
        <v>985</v>
      </c>
      <c r="I11" s="275" t="s">
        <v>986</v>
      </c>
      <c r="J11" s="275" t="s">
        <v>987</v>
      </c>
      <c r="K11" s="275" t="s">
        <v>988</v>
      </c>
      <c r="L11" s="275" t="s">
        <v>989</v>
      </c>
      <c r="M11" s="65" t="s">
        <v>601</v>
      </c>
      <c r="N11" s="65" t="s">
        <v>302</v>
      </c>
      <c r="O11" s="65" t="s">
        <v>4</v>
      </c>
      <c r="P11" s="65" t="s">
        <v>6</v>
      </c>
      <c r="Q11" s="65" t="s">
        <v>5</v>
      </c>
      <c r="R11" s="275" t="s">
        <v>929</v>
      </c>
      <c r="S11" s="65" t="s">
        <v>3</v>
      </c>
    </row>
    <row r="12" spans="1:19" s="373" customFormat="1" ht="43.5" customHeight="1">
      <c r="A12" s="286" t="s">
        <v>994</v>
      </c>
      <c r="B12" s="475"/>
      <c r="C12" s="460" t="s">
        <v>956</v>
      </c>
      <c r="D12" s="286" t="s">
        <v>955</v>
      </c>
      <c r="E12" s="286"/>
      <c r="F12" s="286"/>
      <c r="G12" s="286"/>
      <c r="H12" s="287">
        <f>M12</f>
        <v>1841.33</v>
      </c>
      <c r="I12" s="174">
        <v>1104.79</v>
      </c>
      <c r="J12" s="174"/>
      <c r="K12" s="174" t="s">
        <v>997</v>
      </c>
      <c r="L12" s="494">
        <v>1</v>
      </c>
      <c r="M12" s="174">
        <f>I12+N12+O12+P12+Q12+R12+S12</f>
        <v>1841.33</v>
      </c>
      <c r="N12" s="174">
        <v>368.27</v>
      </c>
      <c r="O12" s="174">
        <v>0</v>
      </c>
      <c r="P12" s="174">
        <v>0</v>
      </c>
      <c r="Q12" s="174">
        <v>0</v>
      </c>
      <c r="R12" s="174">
        <v>0</v>
      </c>
      <c r="S12" s="174">
        <v>368.27</v>
      </c>
    </row>
    <row r="13" spans="1:19" s="14" customFormat="1" ht="36" customHeight="1">
      <c r="A13" s="286" t="s">
        <v>994</v>
      </c>
      <c r="B13" s="475"/>
      <c r="C13" s="428" t="s">
        <v>998</v>
      </c>
      <c r="D13" s="286" t="s">
        <v>955</v>
      </c>
      <c r="E13" s="286"/>
      <c r="F13" s="286"/>
      <c r="G13" s="286"/>
      <c r="H13" s="287">
        <f t="shared" ref="H13:H76" si="0">M13</f>
        <v>0</v>
      </c>
      <c r="I13" s="368">
        <v>0</v>
      </c>
      <c r="J13" s="368"/>
      <c r="K13" s="174" t="s">
        <v>997</v>
      </c>
      <c r="L13" s="495"/>
      <c r="M13" s="45">
        <f>I13+N13+O13+P13+Q13+S13</f>
        <v>0</v>
      </c>
      <c r="N13" s="45">
        <v>0</v>
      </c>
      <c r="O13" s="44">
        <v>0</v>
      </c>
      <c r="P13" s="44">
        <v>0</v>
      </c>
      <c r="Q13" s="44">
        <v>0</v>
      </c>
      <c r="R13" s="174">
        <v>0</v>
      </c>
      <c r="S13" s="195">
        <v>0</v>
      </c>
    </row>
    <row r="14" spans="1:19" s="14" customFormat="1" ht="35.25" customHeight="1">
      <c r="A14" s="286" t="s">
        <v>994</v>
      </c>
      <c r="B14" s="475"/>
      <c r="C14" s="428" t="s">
        <v>858</v>
      </c>
      <c r="D14" s="286" t="s">
        <v>832</v>
      </c>
      <c r="E14" s="286"/>
      <c r="F14" s="286"/>
      <c r="G14" s="286"/>
      <c r="H14" s="287">
        <f t="shared" si="0"/>
        <v>8074.75</v>
      </c>
      <c r="I14" s="368">
        <v>4844.8500000000004</v>
      </c>
      <c r="J14" s="368"/>
      <c r="K14" s="174" t="s">
        <v>997</v>
      </c>
      <c r="L14" s="495"/>
      <c r="M14" s="45">
        <f>I14+N14+O14+P14+Q14+S14</f>
        <v>8074.75</v>
      </c>
      <c r="N14" s="368">
        <v>0</v>
      </c>
      <c r="O14" s="174">
        <v>1614.95</v>
      </c>
      <c r="P14" s="174">
        <v>0</v>
      </c>
      <c r="Q14" s="174">
        <v>0</v>
      </c>
      <c r="R14" s="174">
        <v>0</v>
      </c>
      <c r="S14" s="287">
        <v>1614.95</v>
      </c>
    </row>
    <row r="15" spans="1:19" s="14" customFormat="1" ht="60" customHeight="1">
      <c r="A15" s="286" t="s">
        <v>994</v>
      </c>
      <c r="B15" s="475"/>
      <c r="C15" s="428" t="s">
        <v>860</v>
      </c>
      <c r="D15" s="286" t="s">
        <v>861</v>
      </c>
      <c r="E15" s="286"/>
      <c r="F15" s="286"/>
      <c r="G15" s="286"/>
      <c r="H15" s="287">
        <f t="shared" si="0"/>
        <v>25584</v>
      </c>
      <c r="I15" s="368">
        <v>3837.6</v>
      </c>
      <c r="J15" s="368"/>
      <c r="K15" s="174" t="s">
        <v>997</v>
      </c>
      <c r="L15" s="465">
        <v>1</v>
      </c>
      <c r="M15" s="45">
        <f t="shared" ref="M15:M21" si="1">I15+N15+O15+P15+Q15+R15+S15</f>
        <v>25584</v>
      </c>
      <c r="N15" s="45">
        <v>3837.6</v>
      </c>
      <c r="O15" s="44">
        <v>0</v>
      </c>
      <c r="P15" s="44">
        <v>0</v>
      </c>
      <c r="Q15" s="44">
        <v>0</v>
      </c>
      <c r="R15" s="174">
        <v>0</v>
      </c>
      <c r="S15" s="195">
        <v>17908.8</v>
      </c>
    </row>
    <row r="16" spans="1:19" s="373" customFormat="1" ht="57" customHeight="1">
      <c r="A16" s="286" t="s">
        <v>995</v>
      </c>
      <c r="B16" s="407" t="s">
        <v>889</v>
      </c>
      <c r="C16" s="424" t="s">
        <v>882</v>
      </c>
      <c r="D16" s="286" t="s">
        <v>883</v>
      </c>
      <c r="E16" s="286"/>
      <c r="F16" s="286"/>
      <c r="G16" s="286"/>
      <c r="H16" s="287">
        <f t="shared" si="0"/>
        <v>742728</v>
      </c>
      <c r="I16" s="287">
        <v>445636.8</v>
      </c>
      <c r="J16" s="287"/>
      <c r="K16" s="174" t="s">
        <v>997</v>
      </c>
      <c r="L16" s="472">
        <v>1</v>
      </c>
      <c r="M16" s="287">
        <f t="shared" si="1"/>
        <v>742728</v>
      </c>
      <c r="N16" s="287">
        <v>148545.60000000001</v>
      </c>
      <c r="O16" s="287">
        <v>0</v>
      </c>
      <c r="P16" s="287">
        <v>0</v>
      </c>
      <c r="Q16" s="287">
        <v>0</v>
      </c>
      <c r="R16" s="287">
        <v>148545.60000000001</v>
      </c>
      <c r="S16" s="287">
        <v>0</v>
      </c>
    </row>
    <row r="17" spans="1:19" s="411" customFormat="1" ht="51.75" customHeight="1">
      <c r="A17" s="286" t="s">
        <v>995</v>
      </c>
      <c r="B17" s="410" t="s">
        <v>890</v>
      </c>
      <c r="C17" s="425" t="s">
        <v>884</v>
      </c>
      <c r="D17" s="409" t="s">
        <v>885</v>
      </c>
      <c r="E17" s="409"/>
      <c r="F17" s="409"/>
      <c r="G17" s="409"/>
      <c r="H17" s="287">
        <f t="shared" si="0"/>
        <v>1959256.55</v>
      </c>
      <c r="I17" s="409">
        <v>1175553.93</v>
      </c>
      <c r="J17" s="409"/>
      <c r="K17" s="174" t="s">
        <v>997</v>
      </c>
      <c r="L17" s="472">
        <v>1</v>
      </c>
      <c r="M17" s="287">
        <f t="shared" si="1"/>
        <v>1959256.55</v>
      </c>
      <c r="N17" s="409">
        <v>391851.31</v>
      </c>
      <c r="O17" s="287">
        <v>0</v>
      </c>
      <c r="P17" s="287">
        <v>0</v>
      </c>
      <c r="Q17" s="287">
        <v>0</v>
      </c>
      <c r="R17" s="287">
        <v>391851.31</v>
      </c>
      <c r="S17" s="409">
        <v>0</v>
      </c>
    </row>
    <row r="18" spans="1:19" s="411" customFormat="1" ht="42.75" customHeight="1">
      <c r="A18" s="286" t="s">
        <v>995</v>
      </c>
      <c r="B18" s="410" t="s">
        <v>890</v>
      </c>
      <c r="C18" s="425" t="s">
        <v>927</v>
      </c>
      <c r="D18" s="409" t="s">
        <v>928</v>
      </c>
      <c r="E18" s="409"/>
      <c r="F18" s="409"/>
      <c r="G18" s="409"/>
      <c r="H18" s="287">
        <f t="shared" si="0"/>
        <v>490622.35</v>
      </c>
      <c r="I18" s="409">
        <v>294373.40999999997</v>
      </c>
      <c r="J18" s="409"/>
      <c r="K18" s="174" t="s">
        <v>997</v>
      </c>
      <c r="L18" s="472">
        <v>1</v>
      </c>
      <c r="M18" s="287">
        <f t="shared" si="1"/>
        <v>490622.35</v>
      </c>
      <c r="N18" s="409">
        <v>0</v>
      </c>
      <c r="O18" s="287">
        <v>98124.47</v>
      </c>
      <c r="P18" s="287">
        <v>0</v>
      </c>
      <c r="Q18" s="287">
        <v>0</v>
      </c>
      <c r="R18" s="287">
        <v>98124.47</v>
      </c>
      <c r="S18" s="409">
        <v>0</v>
      </c>
    </row>
    <row r="19" spans="1:19" s="411" customFormat="1" ht="51.75" customHeight="1">
      <c r="A19" s="286" t="s">
        <v>995</v>
      </c>
      <c r="B19" s="410" t="s">
        <v>890</v>
      </c>
      <c r="C19" s="425" t="s">
        <v>972</v>
      </c>
      <c r="D19" s="409" t="s">
        <v>928</v>
      </c>
      <c r="E19" s="409"/>
      <c r="F19" s="409"/>
      <c r="G19" s="409"/>
      <c r="H19" s="287">
        <f t="shared" si="0"/>
        <v>855654</v>
      </c>
      <c r="I19" s="409">
        <v>513392.4</v>
      </c>
      <c r="J19" s="409"/>
      <c r="K19" s="174" t="s">
        <v>997</v>
      </c>
      <c r="L19" s="472">
        <v>1</v>
      </c>
      <c r="M19" s="463">
        <f t="shared" si="1"/>
        <v>855654</v>
      </c>
      <c r="N19" s="462">
        <v>0</v>
      </c>
      <c r="O19" s="463">
        <v>171130.8</v>
      </c>
      <c r="P19" s="463">
        <v>0</v>
      </c>
      <c r="Q19" s="463">
        <v>0</v>
      </c>
      <c r="R19" s="463">
        <v>0</v>
      </c>
      <c r="S19" s="462">
        <v>171130.8</v>
      </c>
    </row>
    <row r="20" spans="1:19" s="33" customFormat="1" ht="45.75" customHeight="1">
      <c r="A20" s="286" t="s">
        <v>995</v>
      </c>
      <c r="B20" s="372" t="s">
        <v>871</v>
      </c>
      <c r="C20" s="460" t="s">
        <v>869</v>
      </c>
      <c r="D20" s="372" t="s">
        <v>870</v>
      </c>
      <c r="E20" s="467"/>
      <c r="F20" s="467"/>
      <c r="G20" s="467"/>
      <c r="H20" s="287">
        <f t="shared" si="0"/>
        <v>85943.56</v>
      </c>
      <c r="I20" s="287">
        <v>51566.14</v>
      </c>
      <c r="J20" s="287"/>
      <c r="K20" s="174" t="s">
        <v>997</v>
      </c>
      <c r="L20" s="493">
        <v>2</v>
      </c>
      <c r="M20" s="461">
        <f t="shared" si="1"/>
        <v>85943.56</v>
      </c>
      <c r="N20" s="461">
        <v>17188.71</v>
      </c>
      <c r="O20" s="461">
        <v>0</v>
      </c>
      <c r="P20" s="461">
        <v>0</v>
      </c>
      <c r="Q20" s="461">
        <v>0</v>
      </c>
      <c r="R20" s="461">
        <v>0</v>
      </c>
      <c r="S20" s="461">
        <v>17188.71</v>
      </c>
    </row>
    <row r="21" spans="1:19" s="39" customFormat="1" ht="28.5" customHeight="1">
      <c r="A21" s="286" t="s">
        <v>995</v>
      </c>
      <c r="B21" s="180" t="s">
        <v>973</v>
      </c>
      <c r="C21" s="460" t="s">
        <v>957</v>
      </c>
      <c r="D21" s="180" t="s">
        <v>958</v>
      </c>
      <c r="E21" s="468"/>
      <c r="F21" s="468"/>
      <c r="G21" s="468"/>
      <c r="H21" s="287">
        <f t="shared" si="0"/>
        <v>20154.98</v>
      </c>
      <c r="I21" s="174">
        <v>12092.98</v>
      </c>
      <c r="J21" s="174"/>
      <c r="K21" s="174" t="s">
        <v>997</v>
      </c>
      <c r="L21" s="493"/>
      <c r="M21" s="147">
        <f t="shared" si="1"/>
        <v>20154.98</v>
      </c>
      <c r="N21" s="147">
        <v>4031</v>
      </c>
      <c r="O21" s="147">
        <v>0</v>
      </c>
      <c r="P21" s="147">
        <v>0</v>
      </c>
      <c r="Q21" s="147">
        <v>0</v>
      </c>
      <c r="R21" s="147">
        <v>0</v>
      </c>
      <c r="S21" s="147">
        <v>4031</v>
      </c>
    </row>
    <row r="22" spans="1:19" s="27" customFormat="1" ht="58.5" customHeight="1">
      <c r="A22" s="286" t="s">
        <v>995</v>
      </c>
      <c r="B22" s="286" t="s">
        <v>828</v>
      </c>
      <c r="C22" s="424" t="s">
        <v>826</v>
      </c>
      <c r="D22" s="286" t="s">
        <v>827</v>
      </c>
      <c r="E22" s="286"/>
      <c r="F22" s="286"/>
      <c r="G22" s="286"/>
      <c r="H22" s="287">
        <f t="shared" si="0"/>
        <v>65147.05</v>
      </c>
      <c r="I22" s="368">
        <v>39088.230000000003</v>
      </c>
      <c r="J22" s="368"/>
      <c r="K22" s="174" t="s">
        <v>997</v>
      </c>
      <c r="L22" s="474">
        <v>5</v>
      </c>
      <c r="M22" s="45">
        <f>I22+N22+O22+P22+Q22+S22</f>
        <v>65147.05</v>
      </c>
      <c r="N22" s="45">
        <v>13029.41</v>
      </c>
      <c r="O22" s="44">
        <v>0</v>
      </c>
      <c r="P22" s="44">
        <v>0</v>
      </c>
      <c r="Q22" s="44">
        <v>0</v>
      </c>
      <c r="R22" s="174">
        <v>0</v>
      </c>
      <c r="S22" s="195">
        <v>13029.41</v>
      </c>
    </row>
    <row r="23" spans="1:19" s="373" customFormat="1" ht="43.5" customHeight="1">
      <c r="A23" s="286" t="s">
        <v>995</v>
      </c>
      <c r="B23" s="286" t="s">
        <v>828</v>
      </c>
      <c r="C23" s="460" t="s">
        <v>873</v>
      </c>
      <c r="D23" s="286" t="s">
        <v>874</v>
      </c>
      <c r="E23" s="286"/>
      <c r="F23" s="286"/>
      <c r="G23" s="286"/>
      <c r="H23" s="287">
        <f t="shared" si="0"/>
        <v>101879.77</v>
      </c>
      <c r="I23" s="287">
        <v>54401.85</v>
      </c>
      <c r="J23" s="287"/>
      <c r="K23" s="174" t="s">
        <v>997</v>
      </c>
      <c r="L23" s="474">
        <v>5</v>
      </c>
      <c r="M23" s="287">
        <f t="shared" ref="M23:M54" si="2">I23+N23+O23+P23+Q23+R23+S23</f>
        <v>101879.77</v>
      </c>
      <c r="N23" s="287">
        <v>18133.95</v>
      </c>
      <c r="O23" s="287">
        <v>0</v>
      </c>
      <c r="P23" s="287">
        <v>0</v>
      </c>
      <c r="Q23" s="287">
        <v>2464.19</v>
      </c>
      <c r="R23" s="287">
        <v>0</v>
      </c>
      <c r="S23" s="287">
        <v>26879.78</v>
      </c>
    </row>
    <row r="24" spans="1:19" s="14" customFormat="1" ht="59.25" customHeight="1">
      <c r="A24" s="180" t="s">
        <v>994</v>
      </c>
      <c r="B24" s="475"/>
      <c r="C24" s="428" t="s">
        <v>711</v>
      </c>
      <c r="D24" s="286" t="s">
        <v>710</v>
      </c>
      <c r="E24" s="286"/>
      <c r="F24" s="286"/>
      <c r="G24" s="286"/>
      <c r="H24" s="287">
        <f t="shared" si="0"/>
        <v>619.74</v>
      </c>
      <c r="I24" s="368">
        <v>619.74</v>
      </c>
      <c r="J24" s="368"/>
      <c r="K24" s="174" t="s">
        <v>997</v>
      </c>
      <c r="L24" s="484">
        <v>5</v>
      </c>
      <c r="M24" s="368">
        <f t="shared" si="2"/>
        <v>619.74</v>
      </c>
      <c r="N24" s="45">
        <v>0</v>
      </c>
      <c r="O24" s="44">
        <v>0</v>
      </c>
      <c r="P24" s="44">
        <v>0</v>
      </c>
      <c r="Q24" s="44">
        <v>0</v>
      </c>
      <c r="R24" s="174">
        <v>0</v>
      </c>
      <c r="S24" s="195">
        <v>0</v>
      </c>
    </row>
    <row r="25" spans="1:19" s="14" customFormat="1" ht="54" customHeight="1">
      <c r="A25" s="180" t="s">
        <v>994</v>
      </c>
      <c r="B25" s="475"/>
      <c r="C25" s="428" t="s">
        <v>713</v>
      </c>
      <c r="D25" s="286" t="s">
        <v>710</v>
      </c>
      <c r="E25" s="286"/>
      <c r="F25" s="286"/>
      <c r="G25" s="286"/>
      <c r="H25" s="287">
        <f t="shared" si="0"/>
        <v>4360.6000000000004</v>
      </c>
      <c r="I25" s="368">
        <v>4360.6000000000004</v>
      </c>
      <c r="J25" s="368"/>
      <c r="K25" s="174" t="s">
        <v>997</v>
      </c>
      <c r="L25" s="484"/>
      <c r="M25" s="368">
        <f t="shared" si="2"/>
        <v>4360.6000000000004</v>
      </c>
      <c r="N25" s="45">
        <v>0</v>
      </c>
      <c r="O25" s="44">
        <v>0</v>
      </c>
      <c r="P25" s="44">
        <v>0</v>
      </c>
      <c r="Q25" s="44">
        <v>0</v>
      </c>
      <c r="R25" s="174">
        <v>0</v>
      </c>
      <c r="S25" s="195">
        <v>0</v>
      </c>
    </row>
    <row r="26" spans="1:19" s="14" customFormat="1" ht="64.5" customHeight="1">
      <c r="A26" s="180" t="s">
        <v>995</v>
      </c>
      <c r="B26" s="286" t="s">
        <v>990</v>
      </c>
      <c r="C26" s="428" t="s">
        <v>715</v>
      </c>
      <c r="D26" s="286" t="s">
        <v>710</v>
      </c>
      <c r="E26" s="286"/>
      <c r="F26" s="286"/>
      <c r="G26" s="286"/>
      <c r="H26" s="287">
        <f t="shared" si="0"/>
        <v>4578.9399999999996</v>
      </c>
      <c r="I26" s="368">
        <v>4578.9399999999996</v>
      </c>
      <c r="J26" s="368"/>
      <c r="K26" s="174" t="s">
        <v>997</v>
      </c>
      <c r="L26" s="484"/>
      <c r="M26" s="368">
        <f t="shared" si="2"/>
        <v>4578.9399999999996</v>
      </c>
      <c r="N26" s="45">
        <v>0</v>
      </c>
      <c r="O26" s="44">
        <v>0</v>
      </c>
      <c r="P26" s="44">
        <v>0</v>
      </c>
      <c r="Q26" s="44">
        <v>0</v>
      </c>
      <c r="R26" s="174">
        <v>0</v>
      </c>
      <c r="S26" s="195">
        <v>0</v>
      </c>
    </row>
    <row r="27" spans="1:19" s="14" customFormat="1" ht="60.75" customHeight="1">
      <c r="A27" s="180" t="s">
        <v>995</v>
      </c>
      <c r="B27" s="286" t="s">
        <v>973</v>
      </c>
      <c r="C27" s="428" t="s">
        <v>717</v>
      </c>
      <c r="D27" s="286" t="s">
        <v>710</v>
      </c>
      <c r="E27" s="286"/>
      <c r="F27" s="286"/>
      <c r="G27" s="286"/>
      <c r="H27" s="287">
        <f t="shared" si="0"/>
        <v>18118.53</v>
      </c>
      <c r="I27" s="368">
        <v>18118.53</v>
      </c>
      <c r="J27" s="368"/>
      <c r="K27" s="174" t="s">
        <v>997</v>
      </c>
      <c r="L27" s="484"/>
      <c r="M27" s="368">
        <f t="shared" si="2"/>
        <v>18118.53</v>
      </c>
      <c r="N27" s="45">
        <v>0</v>
      </c>
      <c r="O27" s="44">
        <v>0</v>
      </c>
      <c r="P27" s="44">
        <v>0</v>
      </c>
      <c r="Q27" s="44">
        <v>0</v>
      </c>
      <c r="R27" s="174">
        <v>0</v>
      </c>
      <c r="S27" s="195">
        <v>0</v>
      </c>
    </row>
    <row r="28" spans="1:19" s="14" customFormat="1" ht="58.5" customHeight="1">
      <c r="A28" s="180" t="s">
        <v>994</v>
      </c>
      <c r="B28" s="475"/>
      <c r="C28" s="428" t="s">
        <v>719</v>
      </c>
      <c r="D28" s="286" t="s">
        <v>710</v>
      </c>
      <c r="E28" s="286"/>
      <c r="F28" s="286"/>
      <c r="G28" s="286"/>
      <c r="H28" s="287">
        <f t="shared" si="0"/>
        <v>6472.43</v>
      </c>
      <c r="I28" s="368">
        <v>6472.43</v>
      </c>
      <c r="J28" s="368"/>
      <c r="K28" s="174" t="s">
        <v>997</v>
      </c>
      <c r="L28" s="484"/>
      <c r="M28" s="368">
        <f t="shared" si="2"/>
        <v>6472.43</v>
      </c>
      <c r="N28" s="45">
        <v>0</v>
      </c>
      <c r="O28" s="44">
        <v>0</v>
      </c>
      <c r="P28" s="44">
        <v>0</v>
      </c>
      <c r="Q28" s="44">
        <v>0</v>
      </c>
      <c r="R28" s="174">
        <v>0</v>
      </c>
      <c r="S28" s="195">
        <v>0</v>
      </c>
    </row>
    <row r="29" spans="1:19" s="14" customFormat="1" ht="57" customHeight="1">
      <c r="A29" s="180" t="s">
        <v>994</v>
      </c>
      <c r="B29" s="475"/>
      <c r="C29" s="428" t="s">
        <v>721</v>
      </c>
      <c r="D29" s="286" t="s">
        <v>710</v>
      </c>
      <c r="E29" s="286"/>
      <c r="F29" s="286"/>
      <c r="G29" s="286"/>
      <c r="H29" s="287">
        <f t="shared" si="0"/>
        <v>615.21</v>
      </c>
      <c r="I29" s="368">
        <v>615.21</v>
      </c>
      <c r="J29" s="368"/>
      <c r="K29" s="174" t="s">
        <v>997</v>
      </c>
      <c r="L29" s="484"/>
      <c r="M29" s="368">
        <f t="shared" si="2"/>
        <v>615.21</v>
      </c>
      <c r="N29" s="45">
        <v>0</v>
      </c>
      <c r="O29" s="44">
        <v>0</v>
      </c>
      <c r="P29" s="44">
        <v>0</v>
      </c>
      <c r="Q29" s="44">
        <v>0</v>
      </c>
      <c r="R29" s="174">
        <v>0</v>
      </c>
      <c r="S29" s="195">
        <v>0</v>
      </c>
    </row>
    <row r="30" spans="1:19" s="27" customFormat="1" ht="55.5" customHeight="1">
      <c r="A30" s="180" t="s">
        <v>994</v>
      </c>
      <c r="B30" s="475"/>
      <c r="C30" s="424" t="s">
        <v>722</v>
      </c>
      <c r="D30" s="286" t="s">
        <v>710</v>
      </c>
      <c r="E30" s="286"/>
      <c r="F30" s="286"/>
      <c r="G30" s="286"/>
      <c r="H30" s="287">
        <f t="shared" si="0"/>
        <v>2917.26</v>
      </c>
      <c r="I30" s="368">
        <v>2917.26</v>
      </c>
      <c r="J30" s="368"/>
      <c r="K30" s="174" t="s">
        <v>997</v>
      </c>
      <c r="L30" s="484"/>
      <c r="M30" s="368">
        <f t="shared" si="2"/>
        <v>2917.26</v>
      </c>
      <c r="N30" s="45">
        <v>0</v>
      </c>
      <c r="O30" s="44">
        <v>0</v>
      </c>
      <c r="P30" s="44">
        <v>0</v>
      </c>
      <c r="Q30" s="44">
        <v>0</v>
      </c>
      <c r="R30" s="174">
        <v>0</v>
      </c>
      <c r="S30" s="195">
        <v>0</v>
      </c>
    </row>
    <row r="31" spans="1:19" s="14" customFormat="1" ht="57" customHeight="1">
      <c r="A31" s="180" t="s">
        <v>994</v>
      </c>
      <c r="B31" s="475"/>
      <c r="C31" s="428" t="s">
        <v>724</v>
      </c>
      <c r="D31" s="286" t="s">
        <v>710</v>
      </c>
      <c r="E31" s="286"/>
      <c r="F31" s="286"/>
      <c r="G31" s="286"/>
      <c r="H31" s="287">
        <f t="shared" si="0"/>
        <v>681.09</v>
      </c>
      <c r="I31" s="368">
        <v>681.09</v>
      </c>
      <c r="J31" s="368"/>
      <c r="K31" s="174" t="s">
        <v>997</v>
      </c>
      <c r="L31" s="484"/>
      <c r="M31" s="368">
        <f t="shared" si="2"/>
        <v>681.09</v>
      </c>
      <c r="N31" s="45">
        <v>0</v>
      </c>
      <c r="O31" s="44">
        <v>0</v>
      </c>
      <c r="P31" s="44">
        <v>0</v>
      </c>
      <c r="Q31" s="44">
        <v>0</v>
      </c>
      <c r="R31" s="174">
        <v>0</v>
      </c>
      <c r="S31" s="195">
        <v>0</v>
      </c>
    </row>
    <row r="32" spans="1:19" s="14" customFormat="1" ht="51.75" customHeight="1">
      <c r="A32" s="180" t="s">
        <v>994</v>
      </c>
      <c r="B32" s="475"/>
      <c r="C32" s="428" t="s">
        <v>726</v>
      </c>
      <c r="D32" s="286" t="s">
        <v>710</v>
      </c>
      <c r="E32" s="286"/>
      <c r="F32" s="286"/>
      <c r="G32" s="286"/>
      <c r="H32" s="287">
        <f t="shared" si="0"/>
        <v>3208.11</v>
      </c>
      <c r="I32" s="368">
        <v>3208.11</v>
      </c>
      <c r="J32" s="368"/>
      <c r="K32" s="174" t="s">
        <v>997</v>
      </c>
      <c r="L32" s="484"/>
      <c r="M32" s="368">
        <f t="shared" si="2"/>
        <v>3208.11</v>
      </c>
      <c r="N32" s="45">
        <v>0</v>
      </c>
      <c r="O32" s="44">
        <v>0</v>
      </c>
      <c r="P32" s="44">
        <v>0</v>
      </c>
      <c r="Q32" s="44">
        <v>0</v>
      </c>
      <c r="R32" s="174">
        <v>0</v>
      </c>
      <c r="S32" s="195">
        <v>0</v>
      </c>
    </row>
    <row r="33" spans="1:19" s="14" customFormat="1" ht="60" customHeight="1">
      <c r="A33" s="180" t="s">
        <v>994</v>
      </c>
      <c r="B33" s="475"/>
      <c r="C33" s="428" t="s">
        <v>728</v>
      </c>
      <c r="D33" s="286" t="s">
        <v>710</v>
      </c>
      <c r="E33" s="286"/>
      <c r="F33" s="286"/>
      <c r="G33" s="286"/>
      <c r="H33" s="287">
        <f t="shared" si="0"/>
        <v>1050.1500000000001</v>
      </c>
      <c r="I33" s="368">
        <v>1050.1500000000001</v>
      </c>
      <c r="J33" s="368"/>
      <c r="K33" s="174" t="s">
        <v>997</v>
      </c>
      <c r="L33" s="484"/>
      <c r="M33" s="368">
        <f t="shared" si="2"/>
        <v>1050.1500000000001</v>
      </c>
      <c r="N33" s="45">
        <v>0</v>
      </c>
      <c r="O33" s="44">
        <v>0</v>
      </c>
      <c r="P33" s="44">
        <v>0</v>
      </c>
      <c r="Q33" s="44">
        <v>0</v>
      </c>
      <c r="R33" s="174">
        <v>0</v>
      </c>
      <c r="S33" s="195">
        <v>0</v>
      </c>
    </row>
    <row r="34" spans="1:19" s="14" customFormat="1" ht="51" customHeight="1">
      <c r="A34" s="180" t="s">
        <v>994</v>
      </c>
      <c r="B34" s="475"/>
      <c r="C34" s="428" t="s">
        <v>730</v>
      </c>
      <c r="D34" s="286" t="s">
        <v>710</v>
      </c>
      <c r="E34" s="286"/>
      <c r="F34" s="286"/>
      <c r="G34" s="286"/>
      <c r="H34" s="287">
        <f t="shared" si="0"/>
        <v>627.21</v>
      </c>
      <c r="I34" s="368">
        <v>627.21</v>
      </c>
      <c r="J34" s="368"/>
      <c r="K34" s="174" t="s">
        <v>997</v>
      </c>
      <c r="L34" s="484"/>
      <c r="M34" s="368">
        <f t="shared" si="2"/>
        <v>627.21</v>
      </c>
      <c r="N34" s="45">
        <v>0</v>
      </c>
      <c r="O34" s="44">
        <v>0</v>
      </c>
      <c r="P34" s="44">
        <v>0</v>
      </c>
      <c r="Q34" s="44">
        <v>0</v>
      </c>
      <c r="R34" s="174">
        <v>0</v>
      </c>
      <c r="S34" s="195">
        <v>0</v>
      </c>
    </row>
    <row r="35" spans="1:19" s="14" customFormat="1" ht="57" customHeight="1">
      <c r="A35" s="180" t="s">
        <v>994</v>
      </c>
      <c r="B35" s="475"/>
      <c r="C35" s="428" t="s">
        <v>735</v>
      </c>
      <c r="D35" s="286" t="s">
        <v>736</v>
      </c>
      <c r="E35" s="286"/>
      <c r="F35" s="286"/>
      <c r="G35" s="286"/>
      <c r="H35" s="287">
        <f t="shared" si="0"/>
        <v>1008.56</v>
      </c>
      <c r="I35" s="368">
        <v>1008.56</v>
      </c>
      <c r="J35" s="368"/>
      <c r="K35" s="174" t="s">
        <v>997</v>
      </c>
      <c r="L35" s="484"/>
      <c r="M35" s="368">
        <f t="shared" si="2"/>
        <v>1008.56</v>
      </c>
      <c r="N35" s="368">
        <v>0</v>
      </c>
      <c r="O35" s="174">
        <v>0</v>
      </c>
      <c r="P35" s="174">
        <v>0</v>
      </c>
      <c r="Q35" s="174">
        <v>0</v>
      </c>
      <c r="R35" s="174">
        <v>0</v>
      </c>
      <c r="S35" s="287">
        <v>0</v>
      </c>
    </row>
    <row r="36" spans="1:19" s="14" customFormat="1" ht="57" customHeight="1">
      <c r="A36" s="180" t="s">
        <v>994</v>
      </c>
      <c r="B36" s="475"/>
      <c r="C36" s="428" t="s">
        <v>738</v>
      </c>
      <c r="D36" s="286" t="s">
        <v>736</v>
      </c>
      <c r="E36" s="286"/>
      <c r="F36" s="286"/>
      <c r="G36" s="286"/>
      <c r="H36" s="287">
        <f t="shared" si="0"/>
        <v>247.73</v>
      </c>
      <c r="I36" s="368">
        <v>247.73</v>
      </c>
      <c r="J36" s="368"/>
      <c r="K36" s="174" t="s">
        <v>997</v>
      </c>
      <c r="L36" s="484"/>
      <c r="M36" s="368">
        <f t="shared" si="2"/>
        <v>247.73</v>
      </c>
      <c r="N36" s="368">
        <v>0</v>
      </c>
      <c r="O36" s="174">
        <v>0</v>
      </c>
      <c r="P36" s="174">
        <v>0</v>
      </c>
      <c r="Q36" s="174">
        <v>0</v>
      </c>
      <c r="R36" s="174">
        <v>0</v>
      </c>
      <c r="S36" s="287">
        <v>0</v>
      </c>
    </row>
    <row r="37" spans="1:19" s="14" customFormat="1" ht="58.5" customHeight="1">
      <c r="A37" s="180" t="s">
        <v>994</v>
      </c>
      <c r="B37" s="475"/>
      <c r="C37" s="428" t="s">
        <v>740</v>
      </c>
      <c r="D37" s="286" t="s">
        <v>736</v>
      </c>
      <c r="E37" s="286"/>
      <c r="F37" s="286"/>
      <c r="G37" s="286"/>
      <c r="H37" s="287">
        <f t="shared" si="0"/>
        <v>4184.04</v>
      </c>
      <c r="I37" s="368">
        <v>4184.04</v>
      </c>
      <c r="J37" s="368"/>
      <c r="K37" s="174" t="s">
        <v>997</v>
      </c>
      <c r="L37" s="484"/>
      <c r="M37" s="368">
        <f t="shared" si="2"/>
        <v>4184.04</v>
      </c>
      <c r="N37" s="368">
        <v>0</v>
      </c>
      <c r="O37" s="174">
        <v>0</v>
      </c>
      <c r="P37" s="174">
        <v>0</v>
      </c>
      <c r="Q37" s="174">
        <v>0</v>
      </c>
      <c r="R37" s="174">
        <v>0</v>
      </c>
      <c r="S37" s="287">
        <v>0</v>
      </c>
    </row>
    <row r="38" spans="1:19" s="14" customFormat="1" ht="58.5" customHeight="1">
      <c r="A38" s="180" t="s">
        <v>994</v>
      </c>
      <c r="B38" s="475"/>
      <c r="C38" s="428" t="s">
        <v>742</v>
      </c>
      <c r="D38" s="286" t="s">
        <v>736</v>
      </c>
      <c r="E38" s="286"/>
      <c r="F38" s="286"/>
      <c r="G38" s="286"/>
      <c r="H38" s="287">
        <f t="shared" si="0"/>
        <v>99.3</v>
      </c>
      <c r="I38" s="368">
        <v>99.3</v>
      </c>
      <c r="J38" s="368"/>
      <c r="K38" s="174" t="s">
        <v>997</v>
      </c>
      <c r="L38" s="484"/>
      <c r="M38" s="368">
        <f t="shared" si="2"/>
        <v>99.3</v>
      </c>
      <c r="N38" s="368">
        <v>0</v>
      </c>
      <c r="O38" s="174">
        <v>0</v>
      </c>
      <c r="P38" s="174">
        <v>0</v>
      </c>
      <c r="Q38" s="174">
        <v>0</v>
      </c>
      <c r="R38" s="174">
        <v>0</v>
      </c>
      <c r="S38" s="287">
        <v>0</v>
      </c>
    </row>
    <row r="39" spans="1:19" s="14" customFormat="1" ht="54" customHeight="1">
      <c r="A39" s="180" t="s">
        <v>994</v>
      </c>
      <c r="B39" s="475"/>
      <c r="C39" s="428" t="s">
        <v>744</v>
      </c>
      <c r="D39" s="286" t="s">
        <v>736</v>
      </c>
      <c r="E39" s="286"/>
      <c r="F39" s="286"/>
      <c r="G39" s="286"/>
      <c r="H39" s="287">
        <f t="shared" si="0"/>
        <v>1575.02</v>
      </c>
      <c r="I39" s="368">
        <v>1575.02</v>
      </c>
      <c r="J39" s="368"/>
      <c r="K39" s="174" t="s">
        <v>997</v>
      </c>
      <c r="L39" s="484"/>
      <c r="M39" s="368">
        <f t="shared" si="2"/>
        <v>1575.02</v>
      </c>
      <c r="N39" s="368">
        <v>0</v>
      </c>
      <c r="O39" s="174">
        <v>0</v>
      </c>
      <c r="P39" s="174">
        <v>0</v>
      </c>
      <c r="Q39" s="174">
        <v>0</v>
      </c>
      <c r="R39" s="174">
        <v>0</v>
      </c>
      <c r="S39" s="287">
        <v>0</v>
      </c>
    </row>
    <row r="40" spans="1:19" s="14" customFormat="1" ht="46.5" customHeight="1">
      <c r="A40" s="180" t="s">
        <v>994</v>
      </c>
      <c r="B40" s="475"/>
      <c r="C40" s="428" t="s">
        <v>746</v>
      </c>
      <c r="D40" s="286" t="s">
        <v>736</v>
      </c>
      <c r="E40" s="286"/>
      <c r="F40" s="286"/>
      <c r="G40" s="286"/>
      <c r="H40" s="287">
        <f t="shared" si="0"/>
        <v>359.52</v>
      </c>
      <c r="I40" s="368">
        <v>359.52</v>
      </c>
      <c r="J40" s="368"/>
      <c r="K40" s="174" t="s">
        <v>997</v>
      </c>
      <c r="L40" s="484"/>
      <c r="M40" s="368">
        <f t="shared" si="2"/>
        <v>359.52</v>
      </c>
      <c r="N40" s="368">
        <v>0</v>
      </c>
      <c r="O40" s="174">
        <v>0</v>
      </c>
      <c r="P40" s="174">
        <v>0</v>
      </c>
      <c r="Q40" s="174">
        <v>0</v>
      </c>
      <c r="R40" s="174">
        <v>0</v>
      </c>
      <c r="S40" s="287">
        <v>0</v>
      </c>
    </row>
    <row r="41" spans="1:19" s="14" customFormat="1" ht="57.75" customHeight="1">
      <c r="A41" s="180" t="s">
        <v>994</v>
      </c>
      <c r="B41" s="475"/>
      <c r="C41" s="428" t="s">
        <v>747</v>
      </c>
      <c r="D41" s="286" t="s">
        <v>736</v>
      </c>
      <c r="E41" s="286"/>
      <c r="F41" s="286"/>
      <c r="G41" s="286"/>
      <c r="H41" s="287">
        <f t="shared" si="0"/>
        <v>5371.04</v>
      </c>
      <c r="I41" s="368">
        <v>5371.04</v>
      </c>
      <c r="J41" s="368"/>
      <c r="K41" s="174" t="s">
        <v>997</v>
      </c>
      <c r="L41" s="484"/>
      <c r="M41" s="368">
        <f t="shared" si="2"/>
        <v>5371.04</v>
      </c>
      <c r="N41" s="368">
        <v>0</v>
      </c>
      <c r="O41" s="174">
        <v>0</v>
      </c>
      <c r="P41" s="174">
        <v>0</v>
      </c>
      <c r="Q41" s="174">
        <v>0</v>
      </c>
      <c r="R41" s="174">
        <v>0</v>
      </c>
      <c r="S41" s="287">
        <v>0</v>
      </c>
    </row>
    <row r="42" spans="1:19" s="14" customFormat="1" ht="58.5" customHeight="1">
      <c r="A42" s="180" t="s">
        <v>994</v>
      </c>
      <c r="B42" s="475"/>
      <c r="C42" s="428" t="s">
        <v>954</v>
      </c>
      <c r="D42" s="286" t="s">
        <v>749</v>
      </c>
      <c r="E42" s="286"/>
      <c r="F42" s="286"/>
      <c r="G42" s="286"/>
      <c r="H42" s="287">
        <f t="shared" si="0"/>
        <v>1060.28</v>
      </c>
      <c r="I42" s="368">
        <v>1060.28</v>
      </c>
      <c r="J42" s="368"/>
      <c r="K42" s="174" t="s">
        <v>997</v>
      </c>
      <c r="L42" s="484"/>
      <c r="M42" s="368">
        <f t="shared" si="2"/>
        <v>1060.28</v>
      </c>
      <c r="N42" s="368">
        <v>0</v>
      </c>
      <c r="O42" s="174">
        <v>0</v>
      </c>
      <c r="P42" s="174">
        <v>0</v>
      </c>
      <c r="Q42" s="174">
        <v>0</v>
      </c>
      <c r="R42" s="174">
        <v>0</v>
      </c>
      <c r="S42" s="287">
        <v>0</v>
      </c>
    </row>
    <row r="43" spans="1:19" s="14" customFormat="1" ht="49.5" customHeight="1">
      <c r="A43" s="180" t="s">
        <v>995</v>
      </c>
      <c r="B43" s="286" t="s">
        <v>990</v>
      </c>
      <c r="C43" s="428" t="s">
        <v>752</v>
      </c>
      <c r="D43" s="286" t="s">
        <v>749</v>
      </c>
      <c r="E43" s="286"/>
      <c r="F43" s="286"/>
      <c r="G43" s="286"/>
      <c r="H43" s="287">
        <f t="shared" si="0"/>
        <v>4444.8999999999996</v>
      </c>
      <c r="I43" s="368">
        <v>4444.8999999999996</v>
      </c>
      <c r="J43" s="368"/>
      <c r="K43" s="174" t="s">
        <v>997</v>
      </c>
      <c r="L43" s="484"/>
      <c r="M43" s="368">
        <f t="shared" si="2"/>
        <v>4444.8999999999996</v>
      </c>
      <c r="N43" s="368">
        <v>0</v>
      </c>
      <c r="O43" s="174">
        <v>0</v>
      </c>
      <c r="P43" s="174">
        <v>0</v>
      </c>
      <c r="Q43" s="174">
        <v>0</v>
      </c>
      <c r="R43" s="174">
        <v>0</v>
      </c>
      <c r="S43" s="287">
        <v>0</v>
      </c>
    </row>
    <row r="44" spans="1:19" s="14" customFormat="1" ht="47.25" customHeight="1">
      <c r="A44" s="180" t="s">
        <v>994</v>
      </c>
      <c r="B44" s="475"/>
      <c r="C44" s="428" t="s">
        <v>754</v>
      </c>
      <c r="D44" s="286" t="s">
        <v>749</v>
      </c>
      <c r="E44" s="286"/>
      <c r="F44" s="286"/>
      <c r="G44" s="286"/>
      <c r="H44" s="287">
        <f t="shared" si="0"/>
        <v>46652.62</v>
      </c>
      <c r="I44" s="368">
        <v>46652.62</v>
      </c>
      <c r="J44" s="368"/>
      <c r="K44" s="174" t="s">
        <v>997</v>
      </c>
      <c r="L44" s="484"/>
      <c r="M44" s="368">
        <f t="shared" si="2"/>
        <v>46652.62</v>
      </c>
      <c r="N44" s="368">
        <v>0</v>
      </c>
      <c r="O44" s="174">
        <v>0</v>
      </c>
      <c r="P44" s="174">
        <v>0</v>
      </c>
      <c r="Q44" s="174">
        <v>0</v>
      </c>
      <c r="R44" s="174">
        <v>0</v>
      </c>
      <c r="S44" s="287">
        <v>0</v>
      </c>
    </row>
    <row r="45" spans="1:19" s="14" customFormat="1" ht="52.5" customHeight="1">
      <c r="A45" s="180" t="s">
        <v>995</v>
      </c>
      <c r="B45" s="286" t="s">
        <v>996</v>
      </c>
      <c r="C45" s="428" t="s">
        <v>756</v>
      </c>
      <c r="D45" s="286" t="s">
        <v>749</v>
      </c>
      <c r="E45" s="286"/>
      <c r="F45" s="286"/>
      <c r="G45" s="286"/>
      <c r="H45" s="287">
        <f t="shared" si="0"/>
        <v>12738.47</v>
      </c>
      <c r="I45" s="368">
        <v>12738.47</v>
      </c>
      <c r="J45" s="368"/>
      <c r="K45" s="174" t="s">
        <v>997</v>
      </c>
      <c r="L45" s="484"/>
      <c r="M45" s="368">
        <f t="shared" si="2"/>
        <v>12738.47</v>
      </c>
      <c r="N45" s="368">
        <v>0</v>
      </c>
      <c r="O45" s="174">
        <v>0</v>
      </c>
      <c r="P45" s="174">
        <v>0</v>
      </c>
      <c r="Q45" s="174">
        <v>0</v>
      </c>
      <c r="R45" s="174">
        <v>0</v>
      </c>
      <c r="S45" s="287">
        <v>0</v>
      </c>
    </row>
    <row r="46" spans="1:19" s="14" customFormat="1" ht="56.25" customHeight="1">
      <c r="A46" s="180" t="s">
        <v>995</v>
      </c>
      <c r="B46" s="286" t="s">
        <v>990</v>
      </c>
      <c r="C46" s="428" t="s">
        <v>758</v>
      </c>
      <c r="D46" s="286" t="s">
        <v>759</v>
      </c>
      <c r="E46" s="286"/>
      <c r="F46" s="286"/>
      <c r="G46" s="286"/>
      <c r="H46" s="287">
        <f t="shared" si="0"/>
        <v>9236.33</v>
      </c>
      <c r="I46" s="368">
        <v>9236.33</v>
      </c>
      <c r="J46" s="368"/>
      <c r="K46" s="174" t="s">
        <v>997</v>
      </c>
      <c r="L46" s="484"/>
      <c r="M46" s="368">
        <f t="shared" si="2"/>
        <v>9236.33</v>
      </c>
      <c r="N46" s="368">
        <v>0</v>
      </c>
      <c r="O46" s="174">
        <v>0</v>
      </c>
      <c r="P46" s="174">
        <v>0</v>
      </c>
      <c r="Q46" s="174">
        <v>0</v>
      </c>
      <c r="R46" s="174">
        <v>0</v>
      </c>
      <c r="S46" s="287">
        <v>0</v>
      </c>
    </row>
    <row r="47" spans="1:19" s="14" customFormat="1" ht="52.5" customHeight="1">
      <c r="A47" s="180" t="s">
        <v>994</v>
      </c>
      <c r="B47" s="475"/>
      <c r="C47" s="428" t="s">
        <v>760</v>
      </c>
      <c r="D47" s="286" t="s">
        <v>759</v>
      </c>
      <c r="E47" s="286"/>
      <c r="F47" s="286"/>
      <c r="G47" s="286"/>
      <c r="H47" s="287">
        <f t="shared" si="0"/>
        <v>2783.74</v>
      </c>
      <c r="I47" s="368">
        <v>2783.74</v>
      </c>
      <c r="J47" s="368"/>
      <c r="K47" s="174" t="s">
        <v>997</v>
      </c>
      <c r="L47" s="484"/>
      <c r="M47" s="368">
        <f t="shared" si="2"/>
        <v>2783.74</v>
      </c>
      <c r="N47" s="368">
        <v>0</v>
      </c>
      <c r="O47" s="174">
        <v>0</v>
      </c>
      <c r="P47" s="174">
        <v>0</v>
      </c>
      <c r="Q47" s="174">
        <v>0</v>
      </c>
      <c r="R47" s="174">
        <v>0</v>
      </c>
      <c r="S47" s="287">
        <v>0</v>
      </c>
    </row>
    <row r="48" spans="1:19" s="14" customFormat="1" ht="43.5" customHeight="1">
      <c r="A48" s="180" t="s">
        <v>995</v>
      </c>
      <c r="B48" s="286" t="s">
        <v>996</v>
      </c>
      <c r="C48" s="428" t="s">
        <v>762</v>
      </c>
      <c r="D48" s="286" t="s">
        <v>759</v>
      </c>
      <c r="E48" s="286"/>
      <c r="F48" s="286"/>
      <c r="G48" s="286"/>
      <c r="H48" s="287">
        <f t="shared" si="0"/>
        <v>17099.099999999999</v>
      </c>
      <c r="I48" s="368">
        <v>17099.099999999999</v>
      </c>
      <c r="J48" s="368"/>
      <c r="K48" s="174" t="s">
        <v>997</v>
      </c>
      <c r="L48" s="484"/>
      <c r="M48" s="368">
        <f t="shared" si="2"/>
        <v>17099.099999999999</v>
      </c>
      <c r="N48" s="368">
        <v>0</v>
      </c>
      <c r="O48" s="174">
        <v>0</v>
      </c>
      <c r="P48" s="174">
        <v>0</v>
      </c>
      <c r="Q48" s="174">
        <v>0</v>
      </c>
      <c r="R48" s="174">
        <v>0</v>
      </c>
      <c r="S48" s="287">
        <v>0</v>
      </c>
    </row>
    <row r="49" spans="1:19" s="14" customFormat="1" ht="49.5" customHeight="1">
      <c r="A49" s="180" t="s">
        <v>994</v>
      </c>
      <c r="B49" s="475"/>
      <c r="C49" s="428" t="s">
        <v>763</v>
      </c>
      <c r="D49" s="286" t="s">
        <v>759</v>
      </c>
      <c r="E49" s="286"/>
      <c r="F49" s="286"/>
      <c r="G49" s="286"/>
      <c r="H49" s="287">
        <f t="shared" si="0"/>
        <v>883.53</v>
      </c>
      <c r="I49" s="368">
        <v>883.53</v>
      </c>
      <c r="J49" s="368"/>
      <c r="K49" s="174" t="s">
        <v>997</v>
      </c>
      <c r="L49" s="484"/>
      <c r="M49" s="368">
        <f t="shared" si="2"/>
        <v>883.53</v>
      </c>
      <c r="N49" s="368">
        <v>0</v>
      </c>
      <c r="O49" s="174">
        <v>0</v>
      </c>
      <c r="P49" s="174">
        <v>0</v>
      </c>
      <c r="Q49" s="174">
        <v>0</v>
      </c>
      <c r="R49" s="174">
        <v>0</v>
      </c>
      <c r="S49" s="287">
        <v>0</v>
      </c>
    </row>
    <row r="50" spans="1:19" s="14" customFormat="1" ht="52.5" customHeight="1">
      <c r="A50" s="180" t="s">
        <v>995</v>
      </c>
      <c r="B50" s="286" t="s">
        <v>991</v>
      </c>
      <c r="C50" s="428" t="s">
        <v>764</v>
      </c>
      <c r="D50" s="286" t="s">
        <v>765</v>
      </c>
      <c r="E50" s="286"/>
      <c r="F50" s="286"/>
      <c r="G50" s="286"/>
      <c r="H50" s="287">
        <f t="shared" si="0"/>
        <v>10579.97</v>
      </c>
      <c r="I50" s="368">
        <v>10579.97</v>
      </c>
      <c r="J50" s="368"/>
      <c r="K50" s="174" t="s">
        <v>997</v>
      </c>
      <c r="L50" s="484"/>
      <c r="M50" s="368">
        <f t="shared" si="2"/>
        <v>10579.97</v>
      </c>
      <c r="N50" s="368">
        <v>0</v>
      </c>
      <c r="O50" s="174">
        <v>0</v>
      </c>
      <c r="P50" s="174">
        <v>0</v>
      </c>
      <c r="Q50" s="174">
        <v>0</v>
      </c>
      <c r="R50" s="174">
        <v>0</v>
      </c>
      <c r="S50" s="287">
        <v>0</v>
      </c>
    </row>
    <row r="51" spans="1:19" s="14" customFormat="1" ht="47.25" customHeight="1">
      <c r="A51" s="180" t="s">
        <v>994</v>
      </c>
      <c r="B51" s="475"/>
      <c r="C51" s="428" t="s">
        <v>767</v>
      </c>
      <c r="D51" s="286" t="s">
        <v>765</v>
      </c>
      <c r="E51" s="286"/>
      <c r="F51" s="286"/>
      <c r="G51" s="286"/>
      <c r="H51" s="287">
        <f t="shared" si="0"/>
        <v>30046.31</v>
      </c>
      <c r="I51" s="368">
        <v>30046.31</v>
      </c>
      <c r="J51" s="368"/>
      <c r="K51" s="174" t="s">
        <v>997</v>
      </c>
      <c r="L51" s="484"/>
      <c r="M51" s="368">
        <f t="shared" si="2"/>
        <v>30046.31</v>
      </c>
      <c r="N51" s="368">
        <v>0</v>
      </c>
      <c r="O51" s="174">
        <v>0</v>
      </c>
      <c r="P51" s="174">
        <v>0</v>
      </c>
      <c r="Q51" s="174">
        <v>0</v>
      </c>
      <c r="R51" s="174">
        <v>0</v>
      </c>
      <c r="S51" s="287">
        <v>0</v>
      </c>
    </row>
    <row r="52" spans="1:19" s="14" customFormat="1" ht="46.5" customHeight="1">
      <c r="A52" s="180" t="s">
        <v>995</v>
      </c>
      <c r="B52" s="286" t="s">
        <v>996</v>
      </c>
      <c r="C52" s="428" t="s">
        <v>768</v>
      </c>
      <c r="D52" s="286" t="s">
        <v>765</v>
      </c>
      <c r="E52" s="286"/>
      <c r="F52" s="286"/>
      <c r="G52" s="286"/>
      <c r="H52" s="287">
        <f t="shared" si="0"/>
        <v>12851.19</v>
      </c>
      <c r="I52" s="368">
        <v>12851.19</v>
      </c>
      <c r="J52" s="368"/>
      <c r="K52" s="174" t="s">
        <v>997</v>
      </c>
      <c r="L52" s="484"/>
      <c r="M52" s="368">
        <f t="shared" si="2"/>
        <v>12851.19</v>
      </c>
      <c r="N52" s="368">
        <v>0</v>
      </c>
      <c r="O52" s="174">
        <v>0</v>
      </c>
      <c r="P52" s="174">
        <v>0</v>
      </c>
      <c r="Q52" s="174">
        <v>0</v>
      </c>
      <c r="R52" s="174">
        <v>0</v>
      </c>
      <c r="S52" s="287">
        <v>0</v>
      </c>
    </row>
    <row r="53" spans="1:19" s="14" customFormat="1" ht="51" customHeight="1">
      <c r="A53" s="180" t="s">
        <v>994</v>
      </c>
      <c r="B53" s="475"/>
      <c r="C53" s="428" t="s">
        <v>769</v>
      </c>
      <c r="D53" s="286" t="s">
        <v>765</v>
      </c>
      <c r="E53" s="286"/>
      <c r="F53" s="286"/>
      <c r="G53" s="286"/>
      <c r="H53" s="287">
        <f t="shared" si="0"/>
        <v>379.34</v>
      </c>
      <c r="I53" s="368">
        <v>379.34</v>
      </c>
      <c r="J53" s="368"/>
      <c r="K53" s="174" t="s">
        <v>997</v>
      </c>
      <c r="L53" s="484"/>
      <c r="M53" s="368">
        <f t="shared" si="2"/>
        <v>379.34</v>
      </c>
      <c r="N53" s="368">
        <v>0</v>
      </c>
      <c r="O53" s="174">
        <v>0</v>
      </c>
      <c r="P53" s="174">
        <v>0</v>
      </c>
      <c r="Q53" s="174">
        <v>0</v>
      </c>
      <c r="R53" s="174">
        <v>0</v>
      </c>
      <c r="S53" s="287">
        <v>0</v>
      </c>
    </row>
    <row r="54" spans="1:19" s="14" customFormat="1" ht="51.75" customHeight="1">
      <c r="A54" s="180" t="s">
        <v>994</v>
      </c>
      <c r="B54" s="475"/>
      <c r="C54" s="428" t="s">
        <v>771</v>
      </c>
      <c r="D54" s="286" t="s">
        <v>765</v>
      </c>
      <c r="E54" s="286"/>
      <c r="F54" s="286"/>
      <c r="G54" s="286"/>
      <c r="H54" s="287">
        <f t="shared" si="0"/>
        <v>2164.62</v>
      </c>
      <c r="I54" s="368">
        <v>2164.62</v>
      </c>
      <c r="J54" s="368"/>
      <c r="K54" s="174" t="s">
        <v>997</v>
      </c>
      <c r="L54" s="484"/>
      <c r="M54" s="368">
        <f t="shared" si="2"/>
        <v>2164.62</v>
      </c>
      <c r="N54" s="368">
        <v>0</v>
      </c>
      <c r="O54" s="174">
        <v>0</v>
      </c>
      <c r="P54" s="174">
        <v>0</v>
      </c>
      <c r="Q54" s="174">
        <v>0</v>
      </c>
      <c r="R54" s="174">
        <v>0</v>
      </c>
      <c r="S54" s="287">
        <v>0</v>
      </c>
    </row>
    <row r="55" spans="1:19" s="14" customFormat="1" ht="51.75" customHeight="1">
      <c r="A55" s="180" t="s">
        <v>994</v>
      </c>
      <c r="B55" s="475"/>
      <c r="C55" s="428" t="s">
        <v>773</v>
      </c>
      <c r="D55" s="286" t="s">
        <v>765</v>
      </c>
      <c r="E55" s="286"/>
      <c r="F55" s="286"/>
      <c r="G55" s="286"/>
      <c r="H55" s="287">
        <f t="shared" si="0"/>
        <v>765.81</v>
      </c>
      <c r="I55" s="368">
        <v>765.81</v>
      </c>
      <c r="J55" s="368"/>
      <c r="K55" s="174" t="s">
        <v>997</v>
      </c>
      <c r="L55" s="484"/>
      <c r="M55" s="368">
        <f t="shared" ref="M55:M86" si="3">I55+N55+O55+P55+Q55+R55+S55</f>
        <v>765.81</v>
      </c>
      <c r="N55" s="368">
        <v>0</v>
      </c>
      <c r="O55" s="174">
        <v>0</v>
      </c>
      <c r="P55" s="174">
        <v>0</v>
      </c>
      <c r="Q55" s="174">
        <v>0</v>
      </c>
      <c r="R55" s="174">
        <v>0</v>
      </c>
      <c r="S55" s="287">
        <v>0</v>
      </c>
    </row>
    <row r="56" spans="1:19" s="14" customFormat="1" ht="54" customHeight="1">
      <c r="A56" s="180" t="s">
        <v>995</v>
      </c>
      <c r="B56" s="286" t="s">
        <v>991</v>
      </c>
      <c r="C56" s="428" t="s">
        <v>774</v>
      </c>
      <c r="D56" s="286" t="s">
        <v>775</v>
      </c>
      <c r="E56" s="286"/>
      <c r="F56" s="286"/>
      <c r="G56" s="286"/>
      <c r="H56" s="287">
        <f t="shared" si="0"/>
        <v>675.78</v>
      </c>
      <c r="I56" s="368">
        <v>675.78</v>
      </c>
      <c r="J56" s="368"/>
      <c r="K56" s="174" t="s">
        <v>997</v>
      </c>
      <c r="L56" s="484"/>
      <c r="M56" s="368">
        <f t="shared" si="3"/>
        <v>675.78</v>
      </c>
      <c r="N56" s="368">
        <v>0</v>
      </c>
      <c r="O56" s="174">
        <v>0</v>
      </c>
      <c r="P56" s="174">
        <v>0</v>
      </c>
      <c r="Q56" s="174">
        <v>0</v>
      </c>
      <c r="R56" s="174">
        <v>0</v>
      </c>
      <c r="S56" s="287">
        <v>0</v>
      </c>
    </row>
    <row r="57" spans="1:19" s="14" customFormat="1" ht="63.75" customHeight="1">
      <c r="A57" s="180" t="s">
        <v>995</v>
      </c>
      <c r="B57" s="286" t="s">
        <v>992</v>
      </c>
      <c r="C57" s="428" t="s">
        <v>787</v>
      </c>
      <c r="D57" s="286" t="s">
        <v>788</v>
      </c>
      <c r="E57" s="286"/>
      <c r="F57" s="286"/>
      <c r="G57" s="286"/>
      <c r="H57" s="287">
        <f t="shared" si="0"/>
        <v>28524.95</v>
      </c>
      <c r="I57" s="368">
        <v>28524.95</v>
      </c>
      <c r="J57" s="368"/>
      <c r="K57" s="174" t="s">
        <v>997</v>
      </c>
      <c r="L57" s="484"/>
      <c r="M57" s="368">
        <f t="shared" si="3"/>
        <v>28524.95</v>
      </c>
      <c r="N57" s="368">
        <v>0</v>
      </c>
      <c r="O57" s="174">
        <v>0</v>
      </c>
      <c r="P57" s="174">
        <v>0</v>
      </c>
      <c r="Q57" s="174">
        <v>0</v>
      </c>
      <c r="R57" s="174">
        <v>0</v>
      </c>
      <c r="S57" s="287">
        <v>0</v>
      </c>
    </row>
    <row r="58" spans="1:19" s="14" customFormat="1" ht="63.75" customHeight="1">
      <c r="A58" s="180" t="s">
        <v>995</v>
      </c>
      <c r="B58" s="286" t="s">
        <v>993</v>
      </c>
      <c r="C58" s="428" t="s">
        <v>790</v>
      </c>
      <c r="D58" s="286" t="s">
        <v>791</v>
      </c>
      <c r="E58" s="286"/>
      <c r="F58" s="286"/>
      <c r="G58" s="286"/>
      <c r="H58" s="287">
        <f t="shared" si="0"/>
        <v>10266.89</v>
      </c>
      <c r="I58" s="368">
        <v>10266.89</v>
      </c>
      <c r="J58" s="368"/>
      <c r="K58" s="174" t="s">
        <v>997</v>
      </c>
      <c r="L58" s="484"/>
      <c r="M58" s="368">
        <f t="shared" si="3"/>
        <v>10266.89</v>
      </c>
      <c r="N58" s="368">
        <v>0</v>
      </c>
      <c r="O58" s="174">
        <v>0</v>
      </c>
      <c r="P58" s="174">
        <v>0</v>
      </c>
      <c r="Q58" s="174">
        <v>0</v>
      </c>
      <c r="R58" s="174">
        <v>0</v>
      </c>
      <c r="S58" s="287">
        <v>0</v>
      </c>
    </row>
    <row r="59" spans="1:19" s="14" customFormat="1" ht="72.75" customHeight="1">
      <c r="A59" s="180" t="s">
        <v>995</v>
      </c>
      <c r="B59" s="286" t="s">
        <v>795</v>
      </c>
      <c r="C59" s="428" t="s">
        <v>794</v>
      </c>
      <c r="D59" s="286" t="s">
        <v>791</v>
      </c>
      <c r="E59" s="286"/>
      <c r="F59" s="286"/>
      <c r="G59" s="286"/>
      <c r="H59" s="287">
        <f t="shared" si="0"/>
        <v>2153.7800000000002</v>
      </c>
      <c r="I59" s="368">
        <v>2153.7800000000002</v>
      </c>
      <c r="J59" s="368"/>
      <c r="K59" s="174" t="s">
        <v>997</v>
      </c>
      <c r="L59" s="484"/>
      <c r="M59" s="368">
        <f t="shared" si="3"/>
        <v>2153.7800000000002</v>
      </c>
      <c r="N59" s="368">
        <v>0</v>
      </c>
      <c r="O59" s="174">
        <v>0</v>
      </c>
      <c r="P59" s="174">
        <v>0</v>
      </c>
      <c r="Q59" s="174">
        <v>0</v>
      </c>
      <c r="R59" s="174">
        <v>0</v>
      </c>
      <c r="S59" s="287">
        <v>0</v>
      </c>
    </row>
    <row r="60" spans="1:19" s="14" customFormat="1" ht="84.75" customHeight="1">
      <c r="A60" s="180" t="s">
        <v>994</v>
      </c>
      <c r="B60" s="475"/>
      <c r="C60" s="428" t="s">
        <v>797</v>
      </c>
      <c r="D60" s="286" t="s">
        <v>798</v>
      </c>
      <c r="E60" s="286"/>
      <c r="F60" s="286"/>
      <c r="G60" s="286"/>
      <c r="H60" s="287">
        <f t="shared" si="0"/>
        <v>1185.3900000000001</v>
      </c>
      <c r="I60" s="368">
        <v>1185.3900000000001</v>
      </c>
      <c r="J60" s="368"/>
      <c r="K60" s="174" t="s">
        <v>997</v>
      </c>
      <c r="L60" s="484"/>
      <c r="M60" s="368">
        <f t="shared" si="3"/>
        <v>1185.3900000000001</v>
      </c>
      <c r="N60" s="368">
        <v>0</v>
      </c>
      <c r="O60" s="174">
        <v>0</v>
      </c>
      <c r="P60" s="174">
        <v>0</v>
      </c>
      <c r="Q60" s="174">
        <v>0</v>
      </c>
      <c r="R60" s="174">
        <v>0</v>
      </c>
      <c r="S60" s="287">
        <v>0</v>
      </c>
    </row>
    <row r="61" spans="1:19" s="14" customFormat="1" ht="89.25" customHeight="1">
      <c r="A61" s="180" t="s">
        <v>994</v>
      </c>
      <c r="B61" s="475"/>
      <c r="C61" s="428" t="s">
        <v>800</v>
      </c>
      <c r="D61" s="286" t="s">
        <v>798</v>
      </c>
      <c r="E61" s="286"/>
      <c r="F61" s="286"/>
      <c r="G61" s="286"/>
      <c r="H61" s="287">
        <f t="shared" si="0"/>
        <v>971.64</v>
      </c>
      <c r="I61" s="368">
        <v>971.64</v>
      </c>
      <c r="J61" s="368"/>
      <c r="K61" s="174" t="s">
        <v>997</v>
      </c>
      <c r="L61" s="484"/>
      <c r="M61" s="368">
        <f t="shared" si="3"/>
        <v>971.64</v>
      </c>
      <c r="N61" s="368">
        <v>0</v>
      </c>
      <c r="O61" s="174">
        <v>0</v>
      </c>
      <c r="P61" s="174">
        <v>0</v>
      </c>
      <c r="Q61" s="174">
        <v>0</v>
      </c>
      <c r="R61" s="174">
        <v>0</v>
      </c>
      <c r="S61" s="287">
        <v>0</v>
      </c>
    </row>
    <row r="62" spans="1:19" s="14" customFormat="1" ht="81" customHeight="1">
      <c r="A62" s="180" t="s">
        <v>994</v>
      </c>
      <c r="B62" s="475"/>
      <c r="C62" s="428" t="s">
        <v>802</v>
      </c>
      <c r="D62" s="286" t="s">
        <v>798</v>
      </c>
      <c r="E62" s="286"/>
      <c r="F62" s="286"/>
      <c r="G62" s="286"/>
      <c r="H62" s="287">
        <f t="shared" si="0"/>
        <v>4678.66</v>
      </c>
      <c r="I62" s="368">
        <v>4678.66</v>
      </c>
      <c r="J62" s="368"/>
      <c r="K62" s="174" t="s">
        <v>997</v>
      </c>
      <c r="L62" s="484"/>
      <c r="M62" s="368">
        <f t="shared" si="3"/>
        <v>4678.66</v>
      </c>
      <c r="N62" s="368">
        <v>0</v>
      </c>
      <c r="O62" s="174">
        <v>0</v>
      </c>
      <c r="P62" s="174">
        <v>0</v>
      </c>
      <c r="Q62" s="174">
        <v>0</v>
      </c>
      <c r="R62" s="174">
        <v>0</v>
      </c>
      <c r="S62" s="287">
        <v>0</v>
      </c>
    </row>
    <row r="63" spans="1:19" s="14" customFormat="1" ht="71.25" customHeight="1">
      <c r="A63" s="180" t="s">
        <v>995</v>
      </c>
      <c r="B63" s="286" t="s">
        <v>992</v>
      </c>
      <c r="C63" s="428" t="s">
        <v>804</v>
      </c>
      <c r="D63" s="286" t="s">
        <v>791</v>
      </c>
      <c r="E63" s="286"/>
      <c r="F63" s="286"/>
      <c r="G63" s="286"/>
      <c r="H63" s="287">
        <f t="shared" si="0"/>
        <v>33671.89</v>
      </c>
      <c r="I63" s="368">
        <v>33671.89</v>
      </c>
      <c r="J63" s="368"/>
      <c r="K63" s="174" t="s">
        <v>997</v>
      </c>
      <c r="L63" s="484"/>
      <c r="M63" s="368">
        <f t="shared" si="3"/>
        <v>33671.89</v>
      </c>
      <c r="N63" s="368">
        <v>0</v>
      </c>
      <c r="O63" s="174">
        <v>0</v>
      </c>
      <c r="P63" s="174">
        <v>0</v>
      </c>
      <c r="Q63" s="174">
        <v>0</v>
      </c>
      <c r="R63" s="174">
        <v>0</v>
      </c>
      <c r="S63" s="287">
        <v>0</v>
      </c>
    </row>
    <row r="64" spans="1:19" s="14" customFormat="1" ht="64.5" customHeight="1">
      <c r="A64" s="180" t="s">
        <v>994</v>
      </c>
      <c r="B64" s="475"/>
      <c r="C64" s="428" t="s">
        <v>807</v>
      </c>
      <c r="D64" s="286" t="s">
        <v>808</v>
      </c>
      <c r="E64" s="286"/>
      <c r="F64" s="286"/>
      <c r="G64" s="286"/>
      <c r="H64" s="287">
        <f t="shared" si="0"/>
        <v>1817.37</v>
      </c>
      <c r="I64" s="368">
        <v>1817.37</v>
      </c>
      <c r="J64" s="368"/>
      <c r="K64" s="174" t="s">
        <v>997</v>
      </c>
      <c r="L64" s="484"/>
      <c r="M64" s="368">
        <f t="shared" si="3"/>
        <v>1817.37</v>
      </c>
      <c r="N64" s="368">
        <v>0</v>
      </c>
      <c r="O64" s="174">
        <v>0</v>
      </c>
      <c r="P64" s="174">
        <v>0</v>
      </c>
      <c r="Q64" s="174">
        <v>0</v>
      </c>
      <c r="R64" s="174">
        <v>0</v>
      </c>
      <c r="S64" s="287">
        <v>0</v>
      </c>
    </row>
    <row r="65" spans="1:33" s="14" customFormat="1" ht="54.75" customHeight="1">
      <c r="A65" s="180" t="s">
        <v>994</v>
      </c>
      <c r="B65" s="475"/>
      <c r="C65" s="428" t="s">
        <v>810</v>
      </c>
      <c r="D65" s="286" t="s">
        <v>811</v>
      </c>
      <c r="E65" s="286"/>
      <c r="F65" s="286"/>
      <c r="G65" s="286"/>
      <c r="H65" s="287">
        <f t="shared" si="0"/>
        <v>1189.01</v>
      </c>
      <c r="I65" s="368">
        <v>1189.01</v>
      </c>
      <c r="J65" s="368"/>
      <c r="K65" s="174" t="s">
        <v>997</v>
      </c>
      <c r="L65" s="484"/>
      <c r="M65" s="368">
        <f t="shared" si="3"/>
        <v>1189.01</v>
      </c>
      <c r="N65" s="368">
        <v>0</v>
      </c>
      <c r="O65" s="174">
        <v>0</v>
      </c>
      <c r="P65" s="174">
        <v>0</v>
      </c>
      <c r="Q65" s="174">
        <v>0</v>
      </c>
      <c r="R65" s="174">
        <v>0</v>
      </c>
      <c r="S65" s="287">
        <v>0</v>
      </c>
    </row>
    <row r="66" spans="1:33" s="14" customFormat="1" ht="55.5" customHeight="1">
      <c r="A66" s="180" t="s">
        <v>994</v>
      </c>
      <c r="B66" s="475"/>
      <c r="C66" s="428" t="s">
        <v>806</v>
      </c>
      <c r="D66" s="286" t="s">
        <v>811</v>
      </c>
      <c r="E66" s="286"/>
      <c r="F66" s="286"/>
      <c r="G66" s="286"/>
      <c r="H66" s="287">
        <f t="shared" si="0"/>
        <v>3377.65</v>
      </c>
      <c r="I66" s="368">
        <v>3377.65</v>
      </c>
      <c r="J66" s="368"/>
      <c r="K66" s="174" t="s">
        <v>997</v>
      </c>
      <c r="L66" s="484"/>
      <c r="M66" s="368">
        <f t="shared" si="3"/>
        <v>3377.65</v>
      </c>
      <c r="N66" s="368">
        <v>0</v>
      </c>
      <c r="O66" s="174">
        <v>0</v>
      </c>
      <c r="P66" s="174">
        <v>0</v>
      </c>
      <c r="Q66" s="174">
        <v>0</v>
      </c>
      <c r="R66" s="174">
        <v>0</v>
      </c>
      <c r="S66" s="287">
        <v>0</v>
      </c>
    </row>
    <row r="67" spans="1:33" s="14" customFormat="1" ht="51" customHeight="1">
      <c r="A67" s="180" t="s">
        <v>994</v>
      </c>
      <c r="B67" s="475"/>
      <c r="C67" s="428" t="s">
        <v>813</v>
      </c>
      <c r="D67" s="286" t="s">
        <v>811</v>
      </c>
      <c r="E67" s="286"/>
      <c r="F67" s="286"/>
      <c r="G67" s="286"/>
      <c r="H67" s="287">
        <f t="shared" si="0"/>
        <v>972.28</v>
      </c>
      <c r="I67" s="368">
        <v>972.28</v>
      </c>
      <c r="J67" s="368"/>
      <c r="K67" s="174" t="s">
        <v>997</v>
      </c>
      <c r="L67" s="484"/>
      <c r="M67" s="368">
        <f t="shared" si="3"/>
        <v>972.28</v>
      </c>
      <c r="N67" s="368">
        <v>0</v>
      </c>
      <c r="O67" s="174">
        <v>0</v>
      </c>
      <c r="P67" s="174">
        <v>0</v>
      </c>
      <c r="Q67" s="174">
        <v>0</v>
      </c>
      <c r="R67" s="174">
        <v>0</v>
      </c>
      <c r="S67" s="287">
        <v>0</v>
      </c>
    </row>
    <row r="68" spans="1:33" s="14" customFormat="1" ht="63" customHeight="1">
      <c r="A68" s="180" t="s">
        <v>994</v>
      </c>
      <c r="B68" s="475"/>
      <c r="C68" s="428" t="s">
        <v>782</v>
      </c>
      <c r="D68" s="286" t="s">
        <v>781</v>
      </c>
      <c r="E68" s="286"/>
      <c r="F68" s="286"/>
      <c r="G68" s="286"/>
      <c r="H68" s="287">
        <f t="shared" si="0"/>
        <v>10307.19</v>
      </c>
      <c r="I68" s="368">
        <v>10307.19</v>
      </c>
      <c r="J68" s="368"/>
      <c r="K68" s="174" t="s">
        <v>997</v>
      </c>
      <c r="L68" s="484"/>
      <c r="M68" s="368">
        <f t="shared" si="3"/>
        <v>10307.19</v>
      </c>
      <c r="N68" s="368">
        <v>0</v>
      </c>
      <c r="O68" s="174">
        <v>0</v>
      </c>
      <c r="P68" s="174">
        <v>0</v>
      </c>
      <c r="Q68" s="174">
        <v>0</v>
      </c>
      <c r="R68" s="174">
        <v>0</v>
      </c>
      <c r="S68" s="287">
        <v>0</v>
      </c>
    </row>
    <row r="69" spans="1:33" s="14" customFormat="1" ht="44.25" customHeight="1">
      <c r="A69" s="180" t="s">
        <v>995</v>
      </c>
      <c r="B69" s="286" t="s">
        <v>991</v>
      </c>
      <c r="C69" s="428" t="s">
        <v>783</v>
      </c>
      <c r="D69" s="286" t="s">
        <v>784</v>
      </c>
      <c r="E69" s="286"/>
      <c r="F69" s="286"/>
      <c r="G69" s="286"/>
      <c r="H69" s="287">
        <f t="shared" si="0"/>
        <v>20023.16</v>
      </c>
      <c r="I69" s="368">
        <v>20023.16</v>
      </c>
      <c r="J69" s="368"/>
      <c r="K69" s="174" t="s">
        <v>997</v>
      </c>
      <c r="L69" s="484"/>
      <c r="M69" s="368">
        <f t="shared" si="3"/>
        <v>20023.16</v>
      </c>
      <c r="N69" s="368">
        <v>0</v>
      </c>
      <c r="O69" s="174">
        <v>0</v>
      </c>
      <c r="P69" s="174">
        <v>0</v>
      </c>
      <c r="Q69" s="174">
        <v>0</v>
      </c>
      <c r="R69" s="174">
        <v>0</v>
      </c>
      <c r="S69" s="287">
        <v>0</v>
      </c>
    </row>
    <row r="70" spans="1:33" s="14" customFormat="1" ht="46.5" customHeight="1">
      <c r="A70" s="180" t="s">
        <v>994</v>
      </c>
      <c r="B70" s="475"/>
      <c r="C70" s="428" t="s">
        <v>785</v>
      </c>
      <c r="D70" s="286" t="s">
        <v>736</v>
      </c>
      <c r="E70" s="286"/>
      <c r="F70" s="286"/>
      <c r="G70" s="286"/>
      <c r="H70" s="287">
        <f t="shared" si="0"/>
        <v>1948.87</v>
      </c>
      <c r="I70" s="368">
        <v>1948.87</v>
      </c>
      <c r="J70" s="368"/>
      <c r="K70" s="174" t="s">
        <v>997</v>
      </c>
      <c r="L70" s="484"/>
      <c r="M70" s="368">
        <f t="shared" si="3"/>
        <v>1948.87</v>
      </c>
      <c r="N70" s="368">
        <v>0</v>
      </c>
      <c r="O70" s="174">
        <v>0</v>
      </c>
      <c r="P70" s="174">
        <v>0</v>
      </c>
      <c r="Q70" s="174">
        <v>0</v>
      </c>
      <c r="R70" s="174">
        <v>0</v>
      </c>
      <c r="S70" s="287">
        <v>0</v>
      </c>
    </row>
    <row r="71" spans="1:33" s="14" customFormat="1" ht="65.25" customHeight="1">
      <c r="A71" s="180" t="s">
        <v>994</v>
      </c>
      <c r="B71" s="475"/>
      <c r="C71" s="428" t="s">
        <v>815</v>
      </c>
      <c r="D71" s="286" t="s">
        <v>781</v>
      </c>
      <c r="E71" s="286"/>
      <c r="F71" s="286"/>
      <c r="G71" s="286"/>
      <c r="H71" s="287">
        <f t="shared" si="0"/>
        <v>5010.6899999999996</v>
      </c>
      <c r="I71" s="368">
        <v>5010.6899999999996</v>
      </c>
      <c r="J71" s="368"/>
      <c r="K71" s="174" t="s">
        <v>997</v>
      </c>
      <c r="L71" s="484"/>
      <c r="M71" s="368">
        <f t="shared" si="3"/>
        <v>5010.6899999999996</v>
      </c>
      <c r="N71" s="368">
        <v>0</v>
      </c>
      <c r="O71" s="174">
        <v>0</v>
      </c>
      <c r="P71" s="174">
        <v>0</v>
      </c>
      <c r="Q71" s="174">
        <v>0</v>
      </c>
      <c r="R71" s="174">
        <v>0</v>
      </c>
      <c r="S71" s="287">
        <v>0</v>
      </c>
    </row>
    <row r="72" spans="1:33" s="14" customFormat="1" ht="51" customHeight="1">
      <c r="A72" s="180" t="s">
        <v>994</v>
      </c>
      <c r="B72" s="475"/>
      <c r="C72" s="428" t="s">
        <v>911</v>
      </c>
      <c r="D72" s="286" t="s">
        <v>865</v>
      </c>
      <c r="E72" s="286"/>
      <c r="F72" s="286"/>
      <c r="G72" s="286"/>
      <c r="H72" s="287">
        <f t="shared" si="0"/>
        <v>775.74</v>
      </c>
      <c r="I72" s="368">
        <v>775.74</v>
      </c>
      <c r="J72" s="368"/>
      <c r="K72" s="174" t="s">
        <v>997</v>
      </c>
      <c r="L72" s="484"/>
      <c r="M72" s="368">
        <f t="shared" si="3"/>
        <v>775.74</v>
      </c>
      <c r="N72" s="368">
        <v>0</v>
      </c>
      <c r="O72" s="174">
        <v>0</v>
      </c>
      <c r="P72" s="174">
        <v>0</v>
      </c>
      <c r="Q72" s="174">
        <v>0</v>
      </c>
      <c r="R72" s="174">
        <v>0</v>
      </c>
      <c r="S72" s="287">
        <v>0</v>
      </c>
    </row>
    <row r="73" spans="1:33" s="14" customFormat="1" ht="48.75" customHeight="1">
      <c r="A73" s="180" t="s">
        <v>995</v>
      </c>
      <c r="B73" s="286" t="s">
        <v>795</v>
      </c>
      <c r="C73" s="428" t="s">
        <v>867</v>
      </c>
      <c r="D73" s="286" t="s">
        <v>865</v>
      </c>
      <c r="E73" s="286"/>
      <c r="F73" s="286"/>
      <c r="G73" s="286"/>
      <c r="H73" s="287">
        <f t="shared" si="0"/>
        <v>27153.83</v>
      </c>
      <c r="I73" s="368">
        <v>27153.83</v>
      </c>
      <c r="J73" s="368"/>
      <c r="K73" s="174" t="s">
        <v>997</v>
      </c>
      <c r="L73" s="484"/>
      <c r="M73" s="368">
        <f t="shared" si="3"/>
        <v>27153.83</v>
      </c>
      <c r="N73" s="368">
        <v>0</v>
      </c>
      <c r="O73" s="174">
        <v>0</v>
      </c>
      <c r="P73" s="174">
        <v>0</v>
      </c>
      <c r="Q73" s="174">
        <v>0</v>
      </c>
      <c r="R73" s="174">
        <v>0</v>
      </c>
      <c r="S73" s="287">
        <v>0</v>
      </c>
    </row>
    <row r="74" spans="1:33" s="14" customFormat="1" ht="57" customHeight="1">
      <c r="A74" s="180" t="s">
        <v>994</v>
      </c>
      <c r="B74" s="475"/>
      <c r="C74" s="428" t="s">
        <v>864</v>
      </c>
      <c r="D74" s="286" t="s">
        <v>865</v>
      </c>
      <c r="E74" s="286"/>
      <c r="F74" s="286"/>
      <c r="G74" s="286"/>
      <c r="H74" s="287">
        <f t="shared" si="0"/>
        <v>5077.6000000000004</v>
      </c>
      <c r="I74" s="368">
        <v>5077.6000000000004</v>
      </c>
      <c r="J74" s="368"/>
      <c r="K74" s="174" t="s">
        <v>997</v>
      </c>
      <c r="L74" s="484"/>
      <c r="M74" s="368">
        <f t="shared" si="3"/>
        <v>5077.6000000000004</v>
      </c>
      <c r="N74" s="368">
        <v>0</v>
      </c>
      <c r="O74" s="174">
        <v>0</v>
      </c>
      <c r="P74" s="174">
        <v>0</v>
      </c>
      <c r="Q74" s="174">
        <v>0</v>
      </c>
      <c r="R74" s="174">
        <v>0</v>
      </c>
      <c r="S74" s="287">
        <v>0</v>
      </c>
    </row>
    <row r="75" spans="1:33" s="14" customFormat="1" ht="33.75" customHeight="1">
      <c r="A75" s="180" t="s">
        <v>994</v>
      </c>
      <c r="B75" s="475"/>
      <c r="C75" s="428" t="s">
        <v>878</v>
      </c>
      <c r="D75" s="372" t="s">
        <v>879</v>
      </c>
      <c r="E75" s="372"/>
      <c r="F75" s="372"/>
      <c r="G75" s="372"/>
      <c r="H75" s="287">
        <f t="shared" si="0"/>
        <v>2672.15</v>
      </c>
      <c r="I75" s="368">
        <v>2672.15</v>
      </c>
      <c r="J75" s="368"/>
      <c r="K75" s="174" t="s">
        <v>997</v>
      </c>
      <c r="L75" s="484"/>
      <c r="M75" s="368">
        <f t="shared" si="3"/>
        <v>2672.15</v>
      </c>
      <c r="N75" s="368">
        <v>0</v>
      </c>
      <c r="O75" s="174">
        <v>0</v>
      </c>
      <c r="P75" s="174">
        <v>0</v>
      </c>
      <c r="Q75" s="174">
        <v>0</v>
      </c>
      <c r="R75" s="174">
        <v>0</v>
      </c>
      <c r="S75" s="287">
        <v>0</v>
      </c>
    </row>
    <row r="76" spans="1:33" s="27" customFormat="1" ht="49.5" customHeight="1">
      <c r="A76" s="176" t="s">
        <v>995</v>
      </c>
      <c r="B76" s="286" t="s">
        <v>990</v>
      </c>
      <c r="C76" s="424" t="s">
        <v>895</v>
      </c>
      <c r="D76" s="286" t="s">
        <v>896</v>
      </c>
      <c r="E76" s="286"/>
      <c r="F76" s="286"/>
      <c r="G76" s="286"/>
      <c r="H76" s="287">
        <f t="shared" si="0"/>
        <v>9236.33</v>
      </c>
      <c r="I76" s="447">
        <v>9236.33</v>
      </c>
      <c r="J76" s="447"/>
      <c r="K76" s="174" t="s">
        <v>997</v>
      </c>
      <c r="L76" s="484"/>
      <c r="M76" s="368">
        <f t="shared" si="3"/>
        <v>9236.33</v>
      </c>
      <c r="N76" s="368">
        <v>0</v>
      </c>
      <c r="O76" s="174">
        <v>0</v>
      </c>
      <c r="P76" s="174">
        <v>0</v>
      </c>
      <c r="Q76" s="174">
        <v>0</v>
      </c>
      <c r="R76" s="174">
        <v>0</v>
      </c>
      <c r="S76" s="287">
        <v>0</v>
      </c>
    </row>
    <row r="77" spans="1:33" s="27" customFormat="1" ht="43.5" customHeight="1">
      <c r="A77" s="176" t="s">
        <v>995</v>
      </c>
      <c r="B77" s="407" t="s">
        <v>948</v>
      </c>
      <c r="C77" s="424" t="s">
        <v>898</v>
      </c>
      <c r="D77" s="286" t="s">
        <v>899</v>
      </c>
      <c r="E77" s="286"/>
      <c r="F77" s="286"/>
      <c r="G77" s="286"/>
      <c r="H77" s="287">
        <f t="shared" ref="H77:H101" si="4">M77</f>
        <v>6973.99</v>
      </c>
      <c r="I77" s="447">
        <v>6973.99</v>
      </c>
      <c r="J77" s="447"/>
      <c r="K77" s="174" t="s">
        <v>997</v>
      </c>
      <c r="L77" s="484"/>
      <c r="M77" s="368">
        <f t="shared" si="3"/>
        <v>6973.99</v>
      </c>
      <c r="N77" s="368">
        <v>0</v>
      </c>
      <c r="O77" s="174">
        <v>0</v>
      </c>
      <c r="P77" s="174">
        <v>0</v>
      </c>
      <c r="Q77" s="174">
        <v>0</v>
      </c>
      <c r="R77" s="174">
        <v>0</v>
      </c>
      <c r="S77" s="287">
        <v>0</v>
      </c>
    </row>
    <row r="78" spans="1:33" s="27" customFormat="1" ht="68.25" customHeight="1">
      <c r="A78" s="176" t="s">
        <v>994</v>
      </c>
      <c r="B78" s="475"/>
      <c r="C78" s="424" t="s">
        <v>903</v>
      </c>
      <c r="D78" s="286" t="s">
        <v>904</v>
      </c>
      <c r="E78" s="286"/>
      <c r="F78" s="286"/>
      <c r="G78" s="286"/>
      <c r="H78" s="287">
        <f t="shared" si="4"/>
        <v>68.510000000000005</v>
      </c>
      <c r="I78" s="447">
        <v>68.510000000000005</v>
      </c>
      <c r="J78" s="447"/>
      <c r="K78" s="174" t="s">
        <v>997</v>
      </c>
      <c r="L78" s="484"/>
      <c r="M78" s="368">
        <f t="shared" si="3"/>
        <v>68.510000000000005</v>
      </c>
      <c r="N78" s="368">
        <v>0</v>
      </c>
      <c r="O78" s="174">
        <v>0</v>
      </c>
      <c r="P78" s="174">
        <v>0</v>
      </c>
      <c r="Q78" s="174">
        <v>0</v>
      </c>
      <c r="R78" s="174">
        <v>0</v>
      </c>
      <c r="S78" s="287">
        <v>0</v>
      </c>
    </row>
    <row r="79" spans="1:33" s="27" customFormat="1" ht="58.5" customHeight="1">
      <c r="A79" s="176" t="s">
        <v>994</v>
      </c>
      <c r="B79" s="475"/>
      <c r="C79" s="424" t="s">
        <v>906</v>
      </c>
      <c r="D79" s="286" t="s">
        <v>907</v>
      </c>
      <c r="E79" s="286"/>
      <c r="F79" s="286"/>
      <c r="G79" s="286"/>
      <c r="H79" s="287">
        <f t="shared" si="4"/>
        <v>1543.95</v>
      </c>
      <c r="I79" s="447">
        <v>1150.48</v>
      </c>
      <c r="J79" s="447"/>
      <c r="K79" s="174" t="s">
        <v>997</v>
      </c>
      <c r="L79" s="484"/>
      <c r="M79" s="368">
        <f t="shared" si="3"/>
        <v>1543.95</v>
      </c>
      <c r="N79" s="368">
        <v>0</v>
      </c>
      <c r="O79" s="447">
        <v>393.47</v>
      </c>
      <c r="P79" s="174">
        <v>0</v>
      </c>
      <c r="Q79" s="174">
        <v>0</v>
      </c>
      <c r="R79" s="174">
        <v>0</v>
      </c>
      <c r="S79" s="287">
        <v>0</v>
      </c>
    </row>
    <row r="80" spans="1:33" s="27" customFormat="1" ht="30.75" customHeight="1">
      <c r="A80" s="176" t="s">
        <v>994</v>
      </c>
      <c r="B80" s="475"/>
      <c r="C80" s="424" t="s">
        <v>939</v>
      </c>
      <c r="D80" s="286" t="s">
        <v>941</v>
      </c>
      <c r="E80" s="286"/>
      <c r="F80" s="286"/>
      <c r="G80" s="286"/>
      <c r="H80" s="287">
        <f t="shared" si="4"/>
        <v>553.61</v>
      </c>
      <c r="I80" s="447">
        <f>'[1]CE du 21022019'!P25</f>
        <v>553.61</v>
      </c>
      <c r="J80" s="447"/>
      <c r="K80" s="174" t="s">
        <v>997</v>
      </c>
      <c r="L80" s="484"/>
      <c r="M80" s="368">
        <f>'[1]CE du 21022019'!N25</f>
        <v>553.61</v>
      </c>
      <c r="N80" s="368">
        <f>'[1]CE du 21022019'!Q25</f>
        <v>553.60986328125</v>
      </c>
      <c r="O80" s="447">
        <f>'[1]CE du 21022019'!R25</f>
        <v>553.60986328125</v>
      </c>
      <c r="P80" s="174">
        <f>'[1]CE du 21022019'!S25</f>
        <v>0</v>
      </c>
      <c r="Q80" s="174">
        <f>'[1]CE du 21022019'!T25</f>
        <v>0</v>
      </c>
      <c r="R80" s="174">
        <f>'[1]CE du 21022019'!U25</f>
        <v>0</v>
      </c>
      <c r="S80" s="287">
        <f>'[1]CE du 21022019'!V25</f>
        <v>0</v>
      </c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</row>
    <row r="81" spans="1:33" s="27" customFormat="1" ht="32.25" customHeight="1">
      <c r="A81" s="176" t="s">
        <v>994</v>
      </c>
      <c r="B81" s="475"/>
      <c r="C81" s="285" t="s">
        <v>942</v>
      </c>
      <c r="D81" s="286" t="s">
        <v>944</v>
      </c>
      <c r="E81" s="459"/>
      <c r="F81" s="459"/>
      <c r="G81" s="459"/>
      <c r="H81" s="287">
        <f t="shared" ca="1" si="4"/>
        <v>5266.76</v>
      </c>
      <c r="I81" s="447">
        <v>5266.76</v>
      </c>
      <c r="J81" s="447"/>
      <c r="K81" s="174" t="s">
        <v>997</v>
      </c>
      <c r="L81" s="484"/>
      <c r="M81" s="457">
        <f ca="1">SUM(I81:S81)</f>
        <v>5266.76</v>
      </c>
      <c r="N81" s="448">
        <v>0</v>
      </c>
      <c r="O81" s="448">
        <v>0</v>
      </c>
      <c r="P81" s="449">
        <v>0</v>
      </c>
      <c r="Q81" s="449">
        <v>0</v>
      </c>
      <c r="R81" s="449">
        <v>0</v>
      </c>
      <c r="S81" s="449">
        <v>0</v>
      </c>
      <c r="T81" s="452"/>
      <c r="U81" s="453"/>
      <c r="V81" s="453"/>
      <c r="W81" s="454"/>
      <c r="X81" s="455"/>
      <c r="Y81" s="454"/>
      <c r="Z81" s="451"/>
      <c r="AA81" s="451"/>
      <c r="AB81" s="451"/>
      <c r="AC81" s="451"/>
      <c r="AD81" s="451"/>
      <c r="AE81" s="454"/>
      <c r="AF81" s="452"/>
      <c r="AG81" s="39"/>
    </row>
    <row r="82" spans="1:33" s="27" customFormat="1" ht="36.75" customHeight="1">
      <c r="A82" s="176" t="s">
        <v>994</v>
      </c>
      <c r="B82" s="475"/>
      <c r="C82" s="285" t="s">
        <v>943</v>
      </c>
      <c r="D82" s="286" t="s">
        <v>940</v>
      </c>
      <c r="E82" s="324"/>
      <c r="F82" s="324"/>
      <c r="G82" s="324"/>
      <c r="H82" s="287">
        <f t="shared" ca="1" si="4"/>
        <v>8970.41</v>
      </c>
      <c r="I82" s="447">
        <v>8970.41</v>
      </c>
      <c r="J82" s="447"/>
      <c r="K82" s="174" t="s">
        <v>997</v>
      </c>
      <c r="L82" s="484"/>
      <c r="M82" s="458">
        <f ca="1">SUM(I82:S82)</f>
        <v>8970.41</v>
      </c>
      <c r="N82" s="450">
        <v>0</v>
      </c>
      <c r="O82" s="450">
        <v>0</v>
      </c>
      <c r="P82" s="449">
        <v>0</v>
      </c>
      <c r="Q82" s="449">
        <v>0</v>
      </c>
      <c r="R82" s="449">
        <v>0</v>
      </c>
      <c r="S82" s="449">
        <v>0</v>
      </c>
      <c r="T82" s="452"/>
      <c r="U82" s="453"/>
      <c r="V82" s="453"/>
      <c r="W82" s="454"/>
      <c r="X82" s="455"/>
      <c r="Y82" s="454"/>
      <c r="Z82" s="451"/>
      <c r="AA82" s="451"/>
      <c r="AB82" s="451"/>
      <c r="AC82" s="451"/>
      <c r="AD82" s="451"/>
      <c r="AE82" s="454"/>
      <c r="AF82" s="452"/>
      <c r="AG82" s="39"/>
    </row>
    <row r="83" spans="1:33" s="27" customFormat="1" ht="47.25" customHeight="1">
      <c r="A83" s="176" t="s">
        <v>995</v>
      </c>
      <c r="B83" s="286" t="s">
        <v>991</v>
      </c>
      <c r="C83" s="285" t="s">
        <v>945</v>
      </c>
      <c r="D83" s="286" t="s">
        <v>952</v>
      </c>
      <c r="E83" s="324"/>
      <c r="F83" s="324"/>
      <c r="G83" s="324"/>
      <c r="H83" s="287">
        <f t="shared" si="4"/>
        <v>7294.46</v>
      </c>
      <c r="I83" s="447">
        <v>7294.46</v>
      </c>
      <c r="J83" s="447"/>
      <c r="K83" s="174" t="s">
        <v>997</v>
      </c>
      <c r="L83" s="484">
        <v>5</v>
      </c>
      <c r="M83" s="458">
        <f t="shared" ref="M83:M99" si="5">SUM(I83+N83+O83+P83+Q83+R83+S83)</f>
        <v>7294.46</v>
      </c>
      <c r="N83" s="450">
        <v>0</v>
      </c>
      <c r="O83" s="450">
        <v>0</v>
      </c>
      <c r="P83" s="449">
        <v>0</v>
      </c>
      <c r="Q83" s="449">
        <v>0</v>
      </c>
      <c r="R83" s="449">
        <v>0</v>
      </c>
      <c r="S83" s="449">
        <v>0</v>
      </c>
      <c r="T83" s="452"/>
      <c r="U83" s="453"/>
      <c r="V83" s="453"/>
      <c r="W83" s="454"/>
      <c r="X83" s="455"/>
      <c r="Y83" s="454"/>
      <c r="Z83" s="451"/>
      <c r="AA83" s="451"/>
      <c r="AB83" s="451"/>
      <c r="AC83" s="451"/>
      <c r="AD83" s="451"/>
      <c r="AE83" s="454"/>
      <c r="AF83" s="452"/>
    </row>
    <row r="84" spans="1:33" s="27" customFormat="1" ht="42.75" customHeight="1">
      <c r="A84" s="176" t="s">
        <v>995</v>
      </c>
      <c r="B84" s="286" t="s">
        <v>948</v>
      </c>
      <c r="C84" s="285" t="s">
        <v>969</v>
      </c>
      <c r="D84" s="286" t="s">
        <v>947</v>
      </c>
      <c r="E84" s="324"/>
      <c r="F84" s="324"/>
      <c r="G84" s="324"/>
      <c r="H84" s="287">
        <f t="shared" si="4"/>
        <v>5611.65</v>
      </c>
      <c r="I84" s="447">
        <v>5611.65</v>
      </c>
      <c r="J84" s="447"/>
      <c r="K84" s="174" t="s">
        <v>997</v>
      </c>
      <c r="L84" s="484"/>
      <c r="M84" s="458">
        <f t="shared" si="5"/>
        <v>5611.65</v>
      </c>
      <c r="N84" s="450">
        <v>0</v>
      </c>
      <c r="O84" s="450">
        <v>0</v>
      </c>
      <c r="P84" s="449">
        <v>0</v>
      </c>
      <c r="Q84" s="449">
        <v>0</v>
      </c>
      <c r="R84" s="449">
        <v>0</v>
      </c>
      <c r="S84" s="449">
        <v>0</v>
      </c>
      <c r="T84" s="452"/>
      <c r="U84" s="453"/>
      <c r="V84" s="453"/>
      <c r="W84" s="454"/>
      <c r="X84" s="455"/>
      <c r="Y84" s="454"/>
      <c r="Z84" s="451"/>
      <c r="AA84" s="451"/>
      <c r="AB84" s="451"/>
      <c r="AC84" s="451"/>
      <c r="AD84" s="451"/>
      <c r="AE84" s="454"/>
      <c r="AF84" s="452"/>
    </row>
    <row r="85" spans="1:33" s="27" customFormat="1" ht="42.75" customHeight="1">
      <c r="A85" s="176" t="s">
        <v>995</v>
      </c>
      <c r="B85" s="286" t="s">
        <v>971</v>
      </c>
      <c r="C85" s="285" t="s">
        <v>946</v>
      </c>
      <c r="D85" s="286" t="s">
        <v>970</v>
      </c>
      <c r="E85" s="324"/>
      <c r="F85" s="324"/>
      <c r="G85" s="324"/>
      <c r="H85" s="287">
        <f t="shared" si="4"/>
        <v>26520.23</v>
      </c>
      <c r="I85" s="447">
        <v>26520.23</v>
      </c>
      <c r="J85" s="447"/>
      <c r="K85" s="174" t="s">
        <v>997</v>
      </c>
      <c r="L85" s="484"/>
      <c r="M85" s="458">
        <f t="shared" si="5"/>
        <v>26520.23</v>
      </c>
      <c r="N85" s="450">
        <v>0</v>
      </c>
      <c r="O85" s="450">
        <v>0</v>
      </c>
      <c r="P85" s="449">
        <v>0</v>
      </c>
      <c r="Q85" s="449">
        <v>0</v>
      </c>
      <c r="R85" s="449">
        <v>0</v>
      </c>
      <c r="S85" s="449">
        <v>0</v>
      </c>
      <c r="T85" s="452"/>
      <c r="U85" s="453"/>
      <c r="V85" s="453"/>
      <c r="W85" s="454"/>
      <c r="X85" s="455"/>
      <c r="Y85" s="454"/>
      <c r="Z85" s="451"/>
      <c r="AA85" s="451"/>
      <c r="AB85" s="451"/>
      <c r="AC85" s="451"/>
      <c r="AD85" s="451"/>
      <c r="AE85" s="454"/>
      <c r="AF85" s="452"/>
    </row>
    <row r="86" spans="1:33" s="27" customFormat="1" ht="30.75" customHeight="1">
      <c r="A86" s="176" t="s">
        <v>994</v>
      </c>
      <c r="B86" s="475"/>
      <c r="C86" s="285" t="s">
        <v>949</v>
      </c>
      <c r="D86" s="286" t="s">
        <v>951</v>
      </c>
      <c r="E86" s="324"/>
      <c r="F86" s="324"/>
      <c r="G86" s="324"/>
      <c r="H86" s="287">
        <f t="shared" si="4"/>
        <v>1145.8900000000001</v>
      </c>
      <c r="I86" s="447">
        <v>1145.8900000000001</v>
      </c>
      <c r="J86" s="447"/>
      <c r="K86" s="174" t="s">
        <v>997</v>
      </c>
      <c r="L86" s="484">
        <v>5</v>
      </c>
      <c r="M86" s="458">
        <f t="shared" si="5"/>
        <v>1145.8900000000001</v>
      </c>
      <c r="N86" s="450">
        <v>0</v>
      </c>
      <c r="O86" s="450">
        <v>0</v>
      </c>
      <c r="P86" s="449">
        <v>0</v>
      </c>
      <c r="Q86" s="449">
        <v>0</v>
      </c>
      <c r="R86" s="449">
        <v>0</v>
      </c>
      <c r="S86" s="449">
        <v>0</v>
      </c>
      <c r="T86" s="452"/>
      <c r="U86" s="453"/>
      <c r="V86" s="453"/>
      <c r="W86" s="454"/>
      <c r="X86" s="455"/>
      <c r="Y86" s="454"/>
      <c r="Z86" s="451"/>
      <c r="AA86" s="451"/>
      <c r="AB86" s="451"/>
      <c r="AC86" s="451"/>
      <c r="AD86" s="451"/>
      <c r="AE86" s="454"/>
      <c r="AF86" s="452"/>
    </row>
    <row r="87" spans="1:33" s="27" customFormat="1" ht="33.75" customHeight="1">
      <c r="A87" s="176" t="s">
        <v>994</v>
      </c>
      <c r="B87" s="475"/>
      <c r="C87" s="285" t="s">
        <v>950</v>
      </c>
      <c r="D87" s="286" t="s">
        <v>953</v>
      </c>
      <c r="E87" s="324"/>
      <c r="F87" s="324"/>
      <c r="G87" s="324"/>
      <c r="H87" s="287">
        <f t="shared" si="4"/>
        <v>774.25</v>
      </c>
      <c r="I87" s="447">
        <v>774.25</v>
      </c>
      <c r="J87" s="447"/>
      <c r="K87" s="174" t="s">
        <v>997</v>
      </c>
      <c r="L87" s="484"/>
      <c r="M87" s="458">
        <f t="shared" si="5"/>
        <v>774.25</v>
      </c>
      <c r="N87" s="450">
        <v>0</v>
      </c>
      <c r="O87" s="450">
        <v>0</v>
      </c>
      <c r="P87" s="449">
        <v>0</v>
      </c>
      <c r="Q87" s="449">
        <v>0</v>
      </c>
      <c r="R87" s="449">
        <v>0</v>
      </c>
      <c r="S87" s="449">
        <v>0</v>
      </c>
      <c r="T87" s="452"/>
      <c r="U87" s="453"/>
      <c r="V87" s="453"/>
      <c r="W87" s="454"/>
      <c r="X87" s="455"/>
      <c r="Y87" s="454"/>
      <c r="Z87" s="451"/>
      <c r="AA87" s="451"/>
      <c r="AB87" s="451"/>
      <c r="AC87" s="451"/>
      <c r="AD87" s="451"/>
      <c r="AE87" s="454"/>
      <c r="AF87" s="452"/>
    </row>
    <row r="88" spans="1:33" s="27" customFormat="1" ht="27" customHeight="1">
      <c r="A88" s="176" t="s">
        <v>994</v>
      </c>
      <c r="B88" s="475"/>
      <c r="C88" s="285" t="s">
        <v>950</v>
      </c>
      <c r="D88" s="286"/>
      <c r="E88" s="324"/>
      <c r="F88" s="324"/>
      <c r="G88" s="324"/>
      <c r="H88" s="287">
        <f t="shared" si="4"/>
        <v>5795.04</v>
      </c>
      <c r="I88" s="447">
        <v>5795.04</v>
      </c>
      <c r="J88" s="447"/>
      <c r="K88" s="174" t="s">
        <v>997</v>
      </c>
      <c r="L88" s="484"/>
      <c r="M88" s="458">
        <f t="shared" si="5"/>
        <v>5795.04</v>
      </c>
      <c r="N88" s="450">
        <v>0</v>
      </c>
      <c r="O88" s="450">
        <v>0</v>
      </c>
      <c r="P88" s="449">
        <v>0</v>
      </c>
      <c r="Q88" s="449">
        <v>0</v>
      </c>
      <c r="R88" s="449">
        <v>0</v>
      </c>
      <c r="S88" s="449">
        <v>0</v>
      </c>
      <c r="T88" s="452"/>
      <c r="U88" s="453"/>
      <c r="V88" s="453"/>
      <c r="W88" s="454"/>
      <c r="X88" s="455"/>
      <c r="Y88" s="454"/>
      <c r="Z88" s="451"/>
      <c r="AA88" s="451"/>
      <c r="AB88" s="451"/>
      <c r="AC88" s="451"/>
      <c r="AD88" s="451"/>
      <c r="AE88" s="454"/>
      <c r="AF88" s="452"/>
    </row>
    <row r="89" spans="1:33" s="27" customFormat="1" ht="27" customHeight="1">
      <c r="A89" s="176" t="s">
        <v>994</v>
      </c>
      <c r="B89" s="475"/>
      <c r="C89" s="285" t="s">
        <v>974</v>
      </c>
      <c r="D89" s="286"/>
      <c r="E89" s="324"/>
      <c r="F89" s="324"/>
      <c r="G89" s="324"/>
      <c r="H89" s="287">
        <f t="shared" si="4"/>
        <v>4364.58</v>
      </c>
      <c r="I89" s="447">
        <v>4364.58</v>
      </c>
      <c r="J89" s="447"/>
      <c r="K89" s="174" t="s">
        <v>997</v>
      </c>
      <c r="L89" s="484"/>
      <c r="M89" s="458">
        <f t="shared" si="5"/>
        <v>4364.58</v>
      </c>
      <c r="N89" s="450"/>
      <c r="O89" s="450"/>
      <c r="P89" s="464"/>
      <c r="Q89" s="464"/>
      <c r="R89" s="464"/>
      <c r="S89" s="464"/>
      <c r="T89" s="452"/>
      <c r="U89" s="453"/>
      <c r="V89" s="453"/>
      <c r="W89" s="454"/>
      <c r="X89" s="455"/>
      <c r="Y89" s="454"/>
      <c r="Z89" s="451"/>
      <c r="AA89" s="451"/>
      <c r="AB89" s="451"/>
      <c r="AC89" s="451"/>
      <c r="AD89" s="451"/>
      <c r="AE89" s="454"/>
      <c r="AF89" s="452"/>
    </row>
    <row r="90" spans="1:33" s="27" customFormat="1" ht="27" customHeight="1">
      <c r="A90" s="176" t="s">
        <v>994</v>
      </c>
      <c r="B90" s="475"/>
      <c r="C90" s="285" t="s">
        <v>975</v>
      </c>
      <c r="D90" s="286"/>
      <c r="E90" s="324"/>
      <c r="F90" s="324"/>
      <c r="G90" s="324"/>
      <c r="H90" s="287">
        <f t="shared" si="4"/>
        <v>7283.55</v>
      </c>
      <c r="I90" s="447">
        <v>7283.55</v>
      </c>
      <c r="J90" s="447"/>
      <c r="K90" s="174" t="s">
        <v>997</v>
      </c>
      <c r="L90" s="484"/>
      <c r="M90" s="458">
        <f t="shared" si="5"/>
        <v>7283.55</v>
      </c>
      <c r="N90" s="450">
        <v>0</v>
      </c>
      <c r="O90" s="450">
        <v>0</v>
      </c>
      <c r="P90" s="464">
        <v>0</v>
      </c>
      <c r="Q90" s="464">
        <v>0</v>
      </c>
      <c r="R90" s="464">
        <v>0</v>
      </c>
      <c r="S90" s="464">
        <v>0</v>
      </c>
      <c r="T90" s="452"/>
      <c r="U90" s="453"/>
      <c r="V90" s="453"/>
      <c r="W90" s="454"/>
      <c r="X90" s="455"/>
      <c r="Y90" s="454"/>
      <c r="Z90" s="451"/>
      <c r="AA90" s="451"/>
      <c r="AB90" s="451"/>
      <c r="AC90" s="451"/>
      <c r="AD90" s="451"/>
      <c r="AE90" s="454"/>
      <c r="AF90" s="452"/>
    </row>
    <row r="91" spans="1:33" s="27" customFormat="1" ht="27" customHeight="1">
      <c r="A91" s="176" t="s">
        <v>995</v>
      </c>
      <c r="B91" s="286" t="s">
        <v>973</v>
      </c>
      <c r="C91" s="285" t="s">
        <v>976</v>
      </c>
      <c r="D91" s="286"/>
      <c r="E91" s="324"/>
      <c r="F91" s="324"/>
      <c r="G91" s="324"/>
      <c r="H91" s="287">
        <f t="shared" si="4"/>
        <v>11298.51</v>
      </c>
      <c r="I91" s="447">
        <v>11298.51</v>
      </c>
      <c r="J91" s="447"/>
      <c r="K91" s="174" t="s">
        <v>997</v>
      </c>
      <c r="L91" s="484"/>
      <c r="M91" s="458">
        <f t="shared" si="5"/>
        <v>11298.51</v>
      </c>
      <c r="N91" s="450">
        <v>0</v>
      </c>
      <c r="O91" s="450">
        <v>0</v>
      </c>
      <c r="P91" s="464">
        <v>0</v>
      </c>
      <c r="Q91" s="464">
        <v>0</v>
      </c>
      <c r="R91" s="464">
        <v>0</v>
      </c>
      <c r="S91" s="464">
        <v>0</v>
      </c>
      <c r="T91" s="452"/>
      <c r="U91" s="453"/>
      <c r="V91" s="453"/>
      <c r="W91" s="454"/>
      <c r="X91" s="455"/>
      <c r="Y91" s="454"/>
      <c r="Z91" s="451"/>
      <c r="AA91" s="451"/>
      <c r="AB91" s="451"/>
      <c r="AC91" s="451"/>
      <c r="AD91" s="451"/>
      <c r="AE91" s="454"/>
      <c r="AF91" s="452"/>
    </row>
    <row r="92" spans="1:33" s="27" customFormat="1" ht="27" customHeight="1">
      <c r="A92" s="176" t="s">
        <v>994</v>
      </c>
      <c r="B92" s="475"/>
      <c r="C92" s="285" t="s">
        <v>977</v>
      </c>
      <c r="D92" s="286"/>
      <c r="E92" s="324"/>
      <c r="F92" s="324"/>
      <c r="G92" s="324"/>
      <c r="H92" s="287">
        <f t="shared" si="4"/>
        <v>151.28</v>
      </c>
      <c r="I92" s="447">
        <v>151.28</v>
      </c>
      <c r="J92" s="447"/>
      <c r="K92" s="174" t="s">
        <v>997</v>
      </c>
      <c r="L92" s="484"/>
      <c r="M92" s="458">
        <f t="shared" si="5"/>
        <v>151.28</v>
      </c>
      <c r="N92" s="450">
        <v>0</v>
      </c>
      <c r="O92" s="450">
        <v>0</v>
      </c>
      <c r="P92" s="464">
        <v>0</v>
      </c>
      <c r="Q92" s="464">
        <v>0</v>
      </c>
      <c r="R92" s="464">
        <v>0</v>
      </c>
      <c r="S92" s="464">
        <v>0</v>
      </c>
      <c r="T92" s="452"/>
      <c r="U92" s="453"/>
      <c r="V92" s="453"/>
      <c r="W92" s="454"/>
      <c r="X92" s="455"/>
      <c r="Y92" s="454"/>
      <c r="Z92" s="451"/>
      <c r="AA92" s="451"/>
      <c r="AB92" s="451"/>
      <c r="AC92" s="451"/>
      <c r="AD92" s="451"/>
      <c r="AE92" s="454"/>
      <c r="AF92" s="452"/>
    </row>
    <row r="93" spans="1:33" s="27" customFormat="1" ht="48.75" customHeight="1">
      <c r="A93" s="176" t="s">
        <v>994</v>
      </c>
      <c r="B93" s="475"/>
      <c r="C93" s="285" t="s">
        <v>959</v>
      </c>
      <c r="D93" s="286" t="s">
        <v>960</v>
      </c>
      <c r="E93" s="324"/>
      <c r="F93" s="324"/>
      <c r="G93" s="324"/>
      <c r="H93" s="287">
        <f t="shared" si="4"/>
        <v>2007.71</v>
      </c>
      <c r="I93" s="447">
        <v>2007.71</v>
      </c>
      <c r="J93" s="447"/>
      <c r="K93" s="174" t="s">
        <v>997</v>
      </c>
      <c r="L93" s="484"/>
      <c r="M93" s="458">
        <f t="shared" si="5"/>
        <v>2007.71</v>
      </c>
      <c r="N93" s="450">
        <v>0</v>
      </c>
      <c r="O93" s="450">
        <v>0</v>
      </c>
      <c r="P93" s="449">
        <v>0</v>
      </c>
      <c r="Q93" s="449">
        <v>0</v>
      </c>
      <c r="R93" s="449">
        <v>0</v>
      </c>
      <c r="S93" s="449">
        <v>0</v>
      </c>
      <c r="T93" s="452"/>
      <c r="U93" s="453"/>
      <c r="V93" s="453"/>
      <c r="W93" s="454"/>
      <c r="X93" s="455"/>
      <c r="Y93" s="454"/>
      <c r="Z93" s="451"/>
      <c r="AA93" s="451"/>
      <c r="AB93" s="451"/>
      <c r="AC93" s="451"/>
      <c r="AD93" s="451"/>
      <c r="AE93" s="454"/>
      <c r="AF93" s="452"/>
    </row>
    <row r="94" spans="1:33" s="27" customFormat="1" ht="42" customHeight="1">
      <c r="A94" s="176" t="s">
        <v>994</v>
      </c>
      <c r="B94" s="475"/>
      <c r="C94" s="285" t="s">
        <v>961</v>
      </c>
      <c r="D94" s="286" t="s">
        <v>960</v>
      </c>
      <c r="E94" s="324"/>
      <c r="F94" s="324"/>
      <c r="G94" s="324"/>
      <c r="H94" s="287">
        <f t="shared" si="4"/>
        <v>2898</v>
      </c>
      <c r="I94" s="447">
        <v>2898</v>
      </c>
      <c r="J94" s="447"/>
      <c r="K94" s="174" t="s">
        <v>997</v>
      </c>
      <c r="L94" s="484"/>
      <c r="M94" s="458">
        <f t="shared" si="5"/>
        <v>2898</v>
      </c>
      <c r="N94" s="450">
        <v>0</v>
      </c>
      <c r="O94" s="450">
        <v>0</v>
      </c>
      <c r="P94" s="449">
        <v>0</v>
      </c>
      <c r="Q94" s="449">
        <v>0</v>
      </c>
      <c r="R94" s="449">
        <v>0</v>
      </c>
      <c r="S94" s="449">
        <v>0</v>
      </c>
      <c r="T94" s="452"/>
      <c r="U94" s="453"/>
      <c r="V94" s="453"/>
      <c r="W94" s="454"/>
      <c r="X94" s="455"/>
      <c r="Y94" s="454"/>
      <c r="Z94" s="451"/>
      <c r="AA94" s="451"/>
      <c r="AB94" s="451"/>
      <c r="AC94" s="451"/>
      <c r="AD94" s="451"/>
      <c r="AE94" s="454"/>
      <c r="AF94" s="452"/>
    </row>
    <row r="95" spans="1:33" s="27" customFormat="1" ht="49.5" customHeight="1">
      <c r="A95" s="176" t="s">
        <v>994</v>
      </c>
      <c r="B95" s="475"/>
      <c r="C95" s="285" t="s">
        <v>962</v>
      </c>
      <c r="D95" s="286" t="s">
        <v>960</v>
      </c>
      <c r="E95" s="324"/>
      <c r="F95" s="324"/>
      <c r="G95" s="324"/>
      <c r="H95" s="287">
        <f t="shared" si="4"/>
        <v>606.80999999999995</v>
      </c>
      <c r="I95" s="447">
        <v>606.80999999999995</v>
      </c>
      <c r="J95" s="447"/>
      <c r="K95" s="174" t="s">
        <v>997</v>
      </c>
      <c r="L95" s="484"/>
      <c r="M95" s="458">
        <f t="shared" si="5"/>
        <v>606.80999999999995</v>
      </c>
      <c r="N95" s="450">
        <v>0</v>
      </c>
      <c r="O95" s="450">
        <v>0</v>
      </c>
      <c r="P95" s="449">
        <v>0</v>
      </c>
      <c r="Q95" s="449">
        <v>0</v>
      </c>
      <c r="R95" s="449">
        <v>0</v>
      </c>
      <c r="S95" s="449">
        <v>0</v>
      </c>
      <c r="T95" s="452"/>
      <c r="U95" s="453"/>
      <c r="V95" s="453"/>
      <c r="W95" s="454"/>
      <c r="X95" s="455"/>
      <c r="Y95" s="454"/>
      <c r="Z95" s="451"/>
      <c r="AA95" s="451"/>
      <c r="AB95" s="451"/>
      <c r="AC95" s="451"/>
      <c r="AD95" s="451"/>
      <c r="AE95" s="454"/>
      <c r="AF95" s="452"/>
    </row>
    <row r="96" spans="1:33" s="27" customFormat="1" ht="45.75" customHeight="1">
      <c r="A96" s="176" t="s">
        <v>994</v>
      </c>
      <c r="B96" s="475"/>
      <c r="C96" s="285" t="s">
        <v>963</v>
      </c>
      <c r="D96" s="286" t="s">
        <v>960</v>
      </c>
      <c r="E96" s="324"/>
      <c r="F96" s="324"/>
      <c r="G96" s="324"/>
      <c r="H96" s="287">
        <f t="shared" si="4"/>
        <v>942.08</v>
      </c>
      <c r="I96" s="447">
        <v>942.08</v>
      </c>
      <c r="J96" s="447"/>
      <c r="K96" s="174" t="s">
        <v>997</v>
      </c>
      <c r="L96" s="484"/>
      <c r="M96" s="458">
        <f t="shared" si="5"/>
        <v>942.08</v>
      </c>
      <c r="N96" s="450">
        <v>0</v>
      </c>
      <c r="O96" s="450">
        <v>0</v>
      </c>
      <c r="P96" s="449">
        <v>0</v>
      </c>
      <c r="Q96" s="449">
        <v>0</v>
      </c>
      <c r="R96" s="449">
        <v>0</v>
      </c>
      <c r="S96" s="449">
        <v>0</v>
      </c>
      <c r="T96" s="452"/>
      <c r="U96" s="453"/>
      <c r="V96" s="453"/>
      <c r="W96" s="454"/>
      <c r="X96" s="455"/>
      <c r="Y96" s="454"/>
      <c r="Z96" s="451"/>
      <c r="AA96" s="451"/>
      <c r="AB96" s="451"/>
      <c r="AC96" s="451"/>
      <c r="AD96" s="451"/>
      <c r="AE96" s="454"/>
      <c r="AF96" s="452"/>
    </row>
    <row r="97" spans="1:32" s="27" customFormat="1" ht="47.25" customHeight="1">
      <c r="A97" s="176" t="s">
        <v>994</v>
      </c>
      <c r="B97" s="475"/>
      <c r="C97" s="285" t="s">
        <v>964</v>
      </c>
      <c r="D97" s="286" t="s">
        <v>960</v>
      </c>
      <c r="E97" s="324"/>
      <c r="F97" s="324"/>
      <c r="G97" s="324"/>
      <c r="H97" s="287">
        <f t="shared" si="4"/>
        <v>3206.61</v>
      </c>
      <c r="I97" s="447">
        <v>3206.61</v>
      </c>
      <c r="J97" s="447"/>
      <c r="K97" s="174" t="s">
        <v>997</v>
      </c>
      <c r="L97" s="484"/>
      <c r="M97" s="458">
        <f t="shared" si="5"/>
        <v>3206.61</v>
      </c>
      <c r="N97" s="450">
        <v>0</v>
      </c>
      <c r="O97" s="450">
        <v>0</v>
      </c>
      <c r="P97" s="449">
        <v>0</v>
      </c>
      <c r="Q97" s="449">
        <v>0</v>
      </c>
      <c r="R97" s="449">
        <v>0</v>
      </c>
      <c r="S97" s="449">
        <v>0</v>
      </c>
      <c r="T97" s="452"/>
      <c r="U97" s="453"/>
      <c r="V97" s="453"/>
      <c r="W97" s="454"/>
      <c r="X97" s="455"/>
      <c r="Y97" s="454"/>
      <c r="Z97" s="451"/>
      <c r="AA97" s="451"/>
      <c r="AB97" s="451"/>
      <c r="AC97" s="451"/>
      <c r="AD97" s="451"/>
      <c r="AE97" s="454"/>
      <c r="AF97" s="452"/>
    </row>
    <row r="98" spans="1:32" s="27" customFormat="1" ht="42" customHeight="1">
      <c r="A98" s="176" t="s">
        <v>994</v>
      </c>
      <c r="B98" s="475"/>
      <c r="C98" s="285" t="s">
        <v>965</v>
      </c>
      <c r="D98" s="286" t="s">
        <v>966</v>
      </c>
      <c r="E98" s="324"/>
      <c r="F98" s="324"/>
      <c r="G98" s="324"/>
      <c r="H98" s="287">
        <f t="shared" si="4"/>
        <v>31985.35</v>
      </c>
      <c r="I98" s="447">
        <v>31985.35</v>
      </c>
      <c r="J98" s="447"/>
      <c r="K98" s="174" t="s">
        <v>997</v>
      </c>
      <c r="L98" s="484"/>
      <c r="M98" s="458">
        <f t="shared" si="5"/>
        <v>31985.35</v>
      </c>
      <c r="N98" s="450">
        <v>0</v>
      </c>
      <c r="O98" s="450">
        <v>0</v>
      </c>
      <c r="P98" s="449">
        <v>0</v>
      </c>
      <c r="Q98" s="449">
        <v>0</v>
      </c>
      <c r="R98" s="449">
        <v>0</v>
      </c>
      <c r="S98" s="449">
        <v>0</v>
      </c>
      <c r="T98" s="452"/>
      <c r="U98" s="453"/>
      <c r="V98" s="453"/>
      <c r="W98" s="454"/>
      <c r="X98" s="455"/>
      <c r="Y98" s="454"/>
      <c r="Z98" s="451"/>
      <c r="AA98" s="451"/>
      <c r="AB98" s="451"/>
      <c r="AC98" s="451"/>
      <c r="AD98" s="451"/>
      <c r="AE98" s="454"/>
      <c r="AF98" s="452"/>
    </row>
    <row r="99" spans="1:32" s="27" customFormat="1" ht="54" customHeight="1">
      <c r="A99" s="176" t="s">
        <v>994</v>
      </c>
      <c r="B99" s="475"/>
      <c r="C99" s="285" t="s">
        <v>967</v>
      </c>
      <c r="D99" s="286" t="s">
        <v>968</v>
      </c>
      <c r="E99" s="324"/>
      <c r="F99" s="324"/>
      <c r="G99" s="324"/>
      <c r="H99" s="287">
        <f t="shared" si="4"/>
        <v>781.48</v>
      </c>
      <c r="I99" s="447">
        <v>781.48</v>
      </c>
      <c r="J99" s="447"/>
      <c r="K99" s="174" t="s">
        <v>997</v>
      </c>
      <c r="L99" s="484"/>
      <c r="M99" s="458">
        <f t="shared" si="5"/>
        <v>781.48</v>
      </c>
      <c r="N99" s="450">
        <v>0</v>
      </c>
      <c r="O99" s="450">
        <v>0</v>
      </c>
      <c r="P99" s="449">
        <v>0</v>
      </c>
      <c r="Q99" s="449">
        <v>0</v>
      </c>
      <c r="R99" s="449">
        <v>0</v>
      </c>
      <c r="S99" s="449">
        <v>0</v>
      </c>
      <c r="T99" s="452"/>
      <c r="U99" s="453"/>
      <c r="V99" s="453"/>
      <c r="W99" s="454"/>
      <c r="X99" s="455"/>
      <c r="Y99" s="454"/>
      <c r="Z99" s="451"/>
      <c r="AA99" s="451"/>
      <c r="AB99" s="451"/>
      <c r="AC99" s="451"/>
      <c r="AD99" s="451"/>
      <c r="AE99" s="454"/>
      <c r="AF99" s="452"/>
    </row>
    <row r="100" spans="1:32" s="14" customFormat="1" ht="38.1" customHeight="1">
      <c r="A100" s="180" t="s">
        <v>995</v>
      </c>
      <c r="B100" s="286" t="s">
        <v>823</v>
      </c>
      <c r="C100" s="428" t="s">
        <v>821</v>
      </c>
      <c r="D100" s="286" t="s">
        <v>822</v>
      </c>
      <c r="E100" s="286"/>
      <c r="F100" s="286"/>
      <c r="G100" s="286"/>
      <c r="H100" s="287">
        <f t="shared" si="4"/>
        <v>289843.06</v>
      </c>
      <c r="I100" s="368">
        <v>217382.3</v>
      </c>
      <c r="J100" s="368"/>
      <c r="K100" s="174" t="s">
        <v>997</v>
      </c>
      <c r="L100" s="465">
        <v>7</v>
      </c>
      <c r="M100" s="45">
        <f>I100+N100+O100+P100+Q100+S100</f>
        <v>289843.06</v>
      </c>
      <c r="N100" s="368">
        <v>72460.759999999995</v>
      </c>
      <c r="O100" s="174">
        <v>0</v>
      </c>
      <c r="P100" s="174">
        <v>0</v>
      </c>
      <c r="Q100" s="174">
        <v>0</v>
      </c>
      <c r="R100" s="174">
        <v>0</v>
      </c>
      <c r="S100" s="287">
        <v>0</v>
      </c>
    </row>
    <row r="101" spans="1:32" s="14" customFormat="1" ht="38.1" customHeight="1">
      <c r="A101" s="180" t="s">
        <v>995</v>
      </c>
      <c r="B101" s="286" t="s">
        <v>823</v>
      </c>
      <c r="C101" s="428" t="s">
        <v>875</v>
      </c>
      <c r="D101" s="286" t="s">
        <v>876</v>
      </c>
      <c r="E101" s="286"/>
      <c r="F101" s="286"/>
      <c r="G101" s="286"/>
      <c r="H101" s="287">
        <f t="shared" si="4"/>
        <v>414386.7</v>
      </c>
      <c r="I101" s="368">
        <v>310790.03000000003</v>
      </c>
      <c r="J101" s="368"/>
      <c r="K101" s="174" t="s">
        <v>997</v>
      </c>
      <c r="L101" s="465">
        <v>7</v>
      </c>
      <c r="M101" s="368">
        <f>I101+N101+O101+P101+Q101+S101</f>
        <v>414386.7</v>
      </c>
      <c r="N101" s="368">
        <v>103596.67</v>
      </c>
      <c r="O101" s="174">
        <v>0</v>
      </c>
      <c r="P101" s="174">
        <v>0</v>
      </c>
      <c r="Q101" s="174">
        <v>0</v>
      </c>
      <c r="R101" s="174">
        <v>0</v>
      </c>
      <c r="S101" s="287">
        <v>0</v>
      </c>
    </row>
    <row r="102" spans="1:32">
      <c r="L102" s="473"/>
      <c r="M102" s="4"/>
      <c r="N102" s="4"/>
      <c r="O102" s="4"/>
      <c r="P102" s="5"/>
      <c r="Q102" s="5"/>
      <c r="R102" s="5"/>
      <c r="S102" s="5"/>
    </row>
    <row r="103" spans="1:32">
      <c r="M103" s="4"/>
      <c r="N103" s="4"/>
      <c r="O103" s="456"/>
      <c r="P103" s="4"/>
      <c r="Q103" s="4"/>
      <c r="R103" s="4"/>
      <c r="S103" s="4"/>
    </row>
    <row r="104" spans="1:32">
      <c r="M104" s="4"/>
      <c r="N104" s="4"/>
      <c r="O104" s="4"/>
      <c r="P104" s="4"/>
      <c r="Q104" s="4"/>
      <c r="S104" s="4"/>
    </row>
    <row r="105" spans="1:32">
      <c r="M105" s="4"/>
      <c r="S105" s="4"/>
    </row>
    <row r="106" spans="1:32">
      <c r="M106" s="4"/>
      <c r="N106" s="4"/>
      <c r="Q106" s="4"/>
    </row>
    <row r="107" spans="1:32">
      <c r="M107" s="4"/>
    </row>
    <row r="108" spans="1:32">
      <c r="N108" s="4"/>
    </row>
    <row r="109" spans="1:32">
      <c r="M109" s="4"/>
      <c r="N109" s="4"/>
    </row>
    <row r="110" spans="1:32">
      <c r="M110" s="4"/>
    </row>
  </sheetData>
  <sheetProtection algorithmName="SHA-512" hashValue="ix9xd+rOYcPo2EPMLxGfu6wXoI6P0352xK3LpGwxyHTJb7NQDyx2R1zcajkv4by1bgH+A4QYwXU3akrkNUDG5g==" saltValue="cXzvguR0xdUkxQ/q10Yxow==" spinCount="100000" sheet="1" formatCells="0" formatColumns="0" formatRows="0" insertColumns="0" insertRows="0" insertHyperlinks="0" deleteColumns="0" deleteRows="0" sort="0" autoFilter="0" pivotTables="0"/>
  <mergeCells count="8">
    <mergeCell ref="L86:L99"/>
    <mergeCell ref="L12:L14"/>
    <mergeCell ref="L83:L85"/>
    <mergeCell ref="A5:L7"/>
    <mergeCell ref="E9:H9"/>
    <mergeCell ref="K9:L9"/>
    <mergeCell ref="L24:L82"/>
    <mergeCell ref="L20:L21"/>
  </mergeCells>
  <pageMargins left="0.7" right="0.7" top="0.75" bottom="0.75" header="0.3" footer="0.3"/>
  <pageSetup paperSize="8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24"/>
  <sheetViews>
    <sheetView zoomScale="70" zoomScaleNormal="70" workbookViewId="0">
      <pane xSplit="1" ySplit="10" topLeftCell="B159" activePane="bottomRight" state="frozen"/>
      <selection pane="topRight" activeCell="B1" sqref="B1"/>
      <selection pane="bottomLeft" activeCell="A11" sqref="A11"/>
      <selection pane="bottomRight" activeCell="B149" sqref="B149:P149"/>
    </sheetView>
  </sheetViews>
  <sheetFormatPr baseColWidth="10" defaultColWidth="11.42578125" defaultRowHeight="15"/>
  <cols>
    <col min="1" max="1" width="29.85546875" style="7" customWidth="1"/>
    <col min="2" max="2" width="26" style="7" customWidth="1"/>
    <col min="3" max="3" width="42.85546875" style="7" customWidth="1"/>
    <col min="4" max="4" width="33.85546875" style="7" customWidth="1"/>
    <col min="5" max="5" width="22.5703125" style="7" customWidth="1"/>
    <col min="6" max="6" width="21.5703125" style="7" customWidth="1"/>
    <col min="7" max="7" width="11" style="7" customWidth="1"/>
    <col min="8" max="8" width="17.85546875" style="7" customWidth="1"/>
    <col min="9" max="9" width="17.5703125" style="7" customWidth="1"/>
    <col min="10" max="10" width="19" style="7" customWidth="1"/>
    <col min="11" max="11" width="15.85546875" style="7" customWidth="1"/>
    <col min="12" max="12" width="17.85546875" style="7" customWidth="1"/>
    <col min="13" max="13" width="18.28515625" style="7" customWidth="1"/>
    <col min="14" max="14" width="13.28515625" style="7" customWidth="1"/>
    <col min="15" max="15" width="16.5703125" style="7" customWidth="1"/>
    <col min="16" max="21" width="18.28515625" style="7" customWidth="1"/>
    <col min="22" max="22" width="15.85546875" style="7" customWidth="1"/>
    <col min="23" max="16384" width="11.42578125" style="7"/>
  </cols>
  <sheetData>
    <row r="3" spans="1:23">
      <c r="O3" s="4"/>
    </row>
    <row r="6" spans="1:23" ht="30.75" customHeight="1">
      <c r="A6" s="499" t="s">
        <v>52</v>
      </c>
      <c r="B6" s="500"/>
      <c r="C6" s="500"/>
      <c r="D6" s="501"/>
      <c r="E6" s="296"/>
      <c r="F6" s="62"/>
      <c r="G6" s="63" t="s">
        <v>53</v>
      </c>
      <c r="H6" s="64">
        <f>H190</f>
        <v>8714987.125728067</v>
      </c>
      <c r="I6" s="34"/>
      <c r="J6" s="34"/>
      <c r="K6" s="34"/>
      <c r="L6" s="5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3" ht="10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3" ht="21" customHeight="1">
      <c r="A8" s="482" t="s">
        <v>45</v>
      </c>
      <c r="B8" s="482"/>
      <c r="C8" s="482"/>
      <c r="D8" s="482"/>
      <c r="E8" s="29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3" ht="12" customHeight="1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3" s="1" customFormat="1" ht="43.5" customHeight="1">
      <c r="A10" s="65" t="s">
        <v>0</v>
      </c>
      <c r="B10" s="65" t="s">
        <v>131</v>
      </c>
      <c r="C10" s="65" t="s">
        <v>1</v>
      </c>
      <c r="D10" s="65" t="s">
        <v>2</v>
      </c>
      <c r="E10" s="65" t="s">
        <v>579</v>
      </c>
      <c r="F10" s="65" t="s">
        <v>601</v>
      </c>
      <c r="G10" s="65" t="s">
        <v>51</v>
      </c>
      <c r="H10" s="65" t="s">
        <v>46</v>
      </c>
      <c r="I10" s="65" t="s">
        <v>302</v>
      </c>
      <c r="J10" s="65" t="s">
        <v>4</v>
      </c>
      <c r="K10" s="65" t="s">
        <v>6</v>
      </c>
      <c r="L10" s="65" t="s">
        <v>5</v>
      </c>
      <c r="M10" s="65" t="s">
        <v>3</v>
      </c>
      <c r="N10" s="65" t="s">
        <v>185</v>
      </c>
      <c r="O10" s="65" t="s">
        <v>586</v>
      </c>
      <c r="P10" s="65" t="s">
        <v>113</v>
      </c>
      <c r="Q10" s="65" t="s">
        <v>114</v>
      </c>
      <c r="R10" s="65" t="s">
        <v>7</v>
      </c>
      <c r="S10" s="2" t="s">
        <v>157</v>
      </c>
      <c r="T10" s="2" t="s">
        <v>8</v>
      </c>
      <c r="U10" s="65" t="s">
        <v>117</v>
      </c>
      <c r="V10" s="65" t="s">
        <v>116</v>
      </c>
    </row>
    <row r="11" spans="1:23" s="15" customFormat="1" ht="45" customHeight="1">
      <c r="A11" s="352" t="s">
        <v>11</v>
      </c>
      <c r="B11" s="66" t="s">
        <v>132</v>
      </c>
      <c r="C11" s="67" t="s">
        <v>28</v>
      </c>
      <c r="D11" s="67" t="s">
        <v>27</v>
      </c>
      <c r="E11" s="67"/>
      <c r="F11" s="68">
        <v>114231.8</v>
      </c>
      <c r="G11" s="69">
        <f t="shared" ref="G11:G31" si="0">(H11+I11+J11+K11+L11)/F11</f>
        <v>0.4999999124587024</v>
      </c>
      <c r="H11" s="70">
        <f>(F11*0.5)*0.85-0.01</f>
        <v>48548.504999999997</v>
      </c>
      <c r="I11" s="71">
        <v>0</v>
      </c>
      <c r="J11" s="70">
        <f>(F11*0.5)*0.15</f>
        <v>8567.3850000000002</v>
      </c>
      <c r="K11" s="71">
        <v>0</v>
      </c>
      <c r="L11" s="71">
        <v>0</v>
      </c>
      <c r="M11" s="71">
        <f t="shared" ref="M11:M17" si="1">+F11/2</f>
        <v>57115.9</v>
      </c>
      <c r="N11" s="72" t="s">
        <v>9</v>
      </c>
      <c r="O11" s="72" t="s">
        <v>50</v>
      </c>
      <c r="P11" s="73"/>
      <c r="Q11" s="73"/>
      <c r="R11" s="74" t="s">
        <v>55</v>
      </c>
      <c r="S11" s="73" t="s">
        <v>158</v>
      </c>
      <c r="T11" s="73">
        <v>42359</v>
      </c>
      <c r="U11" s="73"/>
      <c r="V11" s="75"/>
    </row>
    <row r="12" spans="1:23" s="15" customFormat="1" ht="30">
      <c r="A12" s="353"/>
      <c r="B12" s="76" t="s">
        <v>133</v>
      </c>
      <c r="C12" s="77" t="s">
        <v>29</v>
      </c>
      <c r="D12" s="77" t="s">
        <v>27</v>
      </c>
      <c r="E12" s="77"/>
      <c r="F12" s="78">
        <v>106651.2</v>
      </c>
      <c r="G12" s="79">
        <f t="shared" si="0"/>
        <v>0.49999999999999994</v>
      </c>
      <c r="H12" s="80">
        <f t="shared" ref="H12:H17" si="2">(F12*0.5)*0.85</f>
        <v>45326.759999999995</v>
      </c>
      <c r="I12" s="81">
        <v>0</v>
      </c>
      <c r="J12" s="82">
        <f t="shared" ref="J12:J18" si="3">(F12*0.5)*0.15</f>
        <v>7998.8399999999992</v>
      </c>
      <c r="K12" s="81">
        <v>0</v>
      </c>
      <c r="L12" s="81">
        <v>0</v>
      </c>
      <c r="M12" s="80">
        <f t="shared" si="1"/>
        <v>53325.599999999999</v>
      </c>
      <c r="N12" s="83" t="s">
        <v>9</v>
      </c>
      <c r="O12" s="83" t="s">
        <v>50</v>
      </c>
      <c r="P12" s="84"/>
      <c r="Q12" s="84"/>
      <c r="R12" s="84" t="s">
        <v>56</v>
      </c>
      <c r="S12" s="85" t="s">
        <v>158</v>
      </c>
      <c r="T12" s="85">
        <v>42359</v>
      </c>
      <c r="U12" s="84"/>
      <c r="V12" s="86"/>
    </row>
    <row r="13" spans="1:23" s="14" customFormat="1" ht="30">
      <c r="A13" s="353"/>
      <c r="B13" s="76" t="s">
        <v>134</v>
      </c>
      <c r="C13" s="77" t="s">
        <v>30</v>
      </c>
      <c r="D13" s="77" t="s">
        <v>27</v>
      </c>
      <c r="E13" s="77"/>
      <c r="F13" s="78">
        <v>180431.35</v>
      </c>
      <c r="G13" s="79">
        <f t="shared" si="0"/>
        <v>0.50000005542274106</v>
      </c>
      <c r="H13" s="80">
        <f t="shared" si="2"/>
        <v>76683.323749999996</v>
      </c>
      <c r="I13" s="82">
        <v>0</v>
      </c>
      <c r="J13" s="82">
        <f>F13-H13-M13+0.01</f>
        <v>13532.361250000007</v>
      </c>
      <c r="K13" s="82">
        <v>0</v>
      </c>
      <c r="L13" s="82">
        <v>0</v>
      </c>
      <c r="M13" s="80">
        <f t="shared" si="1"/>
        <v>90215.675000000003</v>
      </c>
      <c r="N13" s="83" t="s">
        <v>9</v>
      </c>
      <c r="O13" s="83" t="s">
        <v>50</v>
      </c>
      <c r="P13" s="87"/>
      <c r="Q13" s="87"/>
      <c r="R13" s="88" t="s">
        <v>55</v>
      </c>
      <c r="S13" s="87" t="s">
        <v>158</v>
      </c>
      <c r="T13" s="85">
        <v>42359</v>
      </c>
      <c r="U13" s="87"/>
      <c r="V13" s="89"/>
      <c r="W13" s="15"/>
    </row>
    <row r="14" spans="1:23" s="14" customFormat="1" ht="30">
      <c r="A14" s="353"/>
      <c r="B14" s="90" t="s">
        <v>135</v>
      </c>
      <c r="C14" s="91" t="s">
        <v>32</v>
      </c>
      <c r="D14" s="91" t="s">
        <v>31</v>
      </c>
      <c r="E14" s="91"/>
      <c r="F14" s="92">
        <v>90967.2</v>
      </c>
      <c r="G14" s="93">
        <f t="shared" si="0"/>
        <v>0.5</v>
      </c>
      <c r="H14" s="94">
        <f t="shared" si="2"/>
        <v>38661.06</v>
      </c>
      <c r="I14" s="95">
        <v>0</v>
      </c>
      <c r="J14" s="95">
        <f t="shared" si="3"/>
        <v>6822.54</v>
      </c>
      <c r="K14" s="95">
        <v>0</v>
      </c>
      <c r="L14" s="95">
        <v>0</v>
      </c>
      <c r="M14" s="94">
        <f t="shared" si="1"/>
        <v>45483.6</v>
      </c>
      <c r="N14" s="96" t="s">
        <v>9</v>
      </c>
      <c r="O14" s="96" t="s">
        <v>50</v>
      </c>
      <c r="P14" s="97"/>
      <c r="Q14" s="97"/>
      <c r="R14" s="98" t="s">
        <v>55</v>
      </c>
      <c r="S14" s="97" t="s">
        <v>158</v>
      </c>
      <c r="T14" s="99">
        <v>42359</v>
      </c>
      <c r="U14" s="97"/>
      <c r="V14" s="100"/>
      <c r="W14" s="15"/>
    </row>
    <row r="15" spans="1:23" s="14" customFormat="1" ht="30">
      <c r="A15" s="353"/>
      <c r="B15" s="101" t="s">
        <v>136</v>
      </c>
      <c r="C15" s="102" t="s">
        <v>33</v>
      </c>
      <c r="D15" s="102" t="s">
        <v>31</v>
      </c>
      <c r="E15" s="102"/>
      <c r="F15" s="103">
        <v>92143.5</v>
      </c>
      <c r="G15" s="104">
        <f t="shared" si="0"/>
        <v>0.49999999999999994</v>
      </c>
      <c r="H15" s="105">
        <f>(F15*0.5)*0.85-0.01</f>
        <v>39160.977499999994</v>
      </c>
      <c r="I15" s="105">
        <v>0</v>
      </c>
      <c r="J15" s="105">
        <f>(F15*0.5)*0.15+0.01</f>
        <v>6910.7725</v>
      </c>
      <c r="K15" s="105">
        <v>0</v>
      </c>
      <c r="L15" s="105">
        <v>0</v>
      </c>
      <c r="M15" s="106">
        <f t="shared" si="1"/>
        <v>46071.75</v>
      </c>
      <c r="N15" s="107" t="s">
        <v>9</v>
      </c>
      <c r="O15" s="107" t="s">
        <v>50</v>
      </c>
      <c r="P15" s="108"/>
      <c r="Q15" s="108"/>
      <c r="R15" s="109" t="s">
        <v>55</v>
      </c>
      <c r="S15" s="108" t="s">
        <v>158</v>
      </c>
      <c r="T15" s="110">
        <v>42359</v>
      </c>
      <c r="U15" s="108"/>
      <c r="V15" s="111"/>
      <c r="W15" s="15"/>
    </row>
    <row r="16" spans="1:23" s="14" customFormat="1" ht="30">
      <c r="A16" s="353"/>
      <c r="B16" s="112" t="s">
        <v>137</v>
      </c>
      <c r="C16" s="113" t="s">
        <v>35</v>
      </c>
      <c r="D16" s="113" t="s">
        <v>34</v>
      </c>
      <c r="E16" s="113"/>
      <c r="F16" s="114">
        <v>91163.25</v>
      </c>
      <c r="G16" s="115">
        <f t="shared" si="0"/>
        <v>0.50000010969332487</v>
      </c>
      <c r="H16" s="116">
        <f t="shared" si="2"/>
        <v>38744.381249999999</v>
      </c>
      <c r="I16" s="117">
        <v>0</v>
      </c>
      <c r="J16" s="117">
        <f>(F16*0.5)*0.15+0.01</f>
        <v>6837.2537499999999</v>
      </c>
      <c r="K16" s="117">
        <v>0</v>
      </c>
      <c r="L16" s="117">
        <v>0</v>
      </c>
      <c r="M16" s="116">
        <f t="shared" si="1"/>
        <v>45581.625</v>
      </c>
      <c r="N16" s="118" t="s">
        <v>9</v>
      </c>
      <c r="O16" s="118" t="s">
        <v>50</v>
      </c>
      <c r="P16" s="119"/>
      <c r="Q16" s="119"/>
      <c r="R16" s="120" t="s">
        <v>55</v>
      </c>
      <c r="S16" s="119" t="s">
        <v>158</v>
      </c>
      <c r="T16" s="121">
        <v>42359</v>
      </c>
      <c r="U16" s="119"/>
      <c r="V16" s="122"/>
      <c r="W16" s="15"/>
    </row>
    <row r="17" spans="1:24" s="14" customFormat="1" ht="30">
      <c r="A17" s="353"/>
      <c r="B17" s="123" t="s">
        <v>138</v>
      </c>
      <c r="C17" s="124" t="s">
        <v>37</v>
      </c>
      <c r="D17" s="124" t="s">
        <v>36</v>
      </c>
      <c r="E17" s="124"/>
      <c r="F17" s="125">
        <v>261400</v>
      </c>
      <c r="G17" s="126">
        <f t="shared" si="0"/>
        <v>0.5</v>
      </c>
      <c r="H17" s="127">
        <f t="shared" si="2"/>
        <v>111095</v>
      </c>
      <c r="I17" s="128">
        <v>0</v>
      </c>
      <c r="J17" s="128">
        <f t="shared" si="3"/>
        <v>19605</v>
      </c>
      <c r="K17" s="128">
        <v>0</v>
      </c>
      <c r="L17" s="128">
        <v>0</v>
      </c>
      <c r="M17" s="127">
        <f t="shared" si="1"/>
        <v>130700</v>
      </c>
      <c r="N17" s="129" t="s">
        <v>9</v>
      </c>
      <c r="O17" s="129" t="s">
        <v>50</v>
      </c>
      <c r="P17" s="130"/>
      <c r="Q17" s="130"/>
      <c r="R17" s="131" t="s">
        <v>55</v>
      </c>
      <c r="S17" s="130" t="s">
        <v>158</v>
      </c>
      <c r="T17" s="132">
        <v>42359</v>
      </c>
      <c r="U17" s="130"/>
      <c r="V17" s="133"/>
      <c r="W17" s="15"/>
    </row>
    <row r="18" spans="1:24" s="14" customFormat="1" ht="30">
      <c r="A18" s="353"/>
      <c r="B18" s="134" t="s">
        <v>139</v>
      </c>
      <c r="C18" s="135" t="s">
        <v>39</v>
      </c>
      <c r="D18" s="135" t="s">
        <v>38</v>
      </c>
      <c r="E18" s="135"/>
      <c r="F18" s="136">
        <v>56919.85</v>
      </c>
      <c r="G18" s="137">
        <f t="shared" si="0"/>
        <v>0.49999982431436485</v>
      </c>
      <c r="H18" s="138">
        <f>(F18*0.5)*0.85-0.01</f>
        <v>24190.92625</v>
      </c>
      <c r="I18" s="138">
        <v>0</v>
      </c>
      <c r="J18" s="138">
        <f t="shared" si="3"/>
        <v>4268.9887499999995</v>
      </c>
      <c r="K18" s="138">
        <v>0</v>
      </c>
      <c r="L18" s="138">
        <v>0</v>
      </c>
      <c r="M18" s="138">
        <v>28459.919999999998</v>
      </c>
      <c r="N18" s="135" t="s">
        <v>9</v>
      </c>
      <c r="O18" s="135" t="s">
        <v>50</v>
      </c>
      <c r="P18" s="139"/>
      <c r="Q18" s="139"/>
      <c r="R18" s="140" t="s">
        <v>55</v>
      </c>
      <c r="S18" s="139" t="s">
        <v>158</v>
      </c>
      <c r="T18" s="139">
        <v>42359</v>
      </c>
      <c r="U18" s="141"/>
      <c r="V18" s="142"/>
      <c r="W18" s="15"/>
    </row>
    <row r="19" spans="1:24" s="14" customFormat="1" ht="30">
      <c r="A19" s="353"/>
      <c r="B19" s="143" t="s">
        <v>140</v>
      </c>
      <c r="C19" s="144" t="s">
        <v>41</v>
      </c>
      <c r="D19" s="144" t="s">
        <v>40</v>
      </c>
      <c r="E19" s="144"/>
      <c r="F19" s="145">
        <f>67.46*3300</f>
        <v>222617.99999999997</v>
      </c>
      <c r="G19" s="146">
        <f t="shared" si="0"/>
        <v>0.64999995508000252</v>
      </c>
      <c r="H19" s="147">
        <f>(F19*0.65)*0.85-0.01</f>
        <v>122996.43499999998</v>
      </c>
      <c r="I19" s="147">
        <v>0</v>
      </c>
      <c r="J19" s="147">
        <f>(F19*0.65)*0.15</f>
        <v>21705.254999999997</v>
      </c>
      <c r="K19" s="147">
        <v>0</v>
      </c>
      <c r="L19" s="147">
        <v>0</v>
      </c>
      <c r="M19" s="147">
        <f>F19*0.35</f>
        <v>77916.299999999988</v>
      </c>
      <c r="N19" s="148" t="s">
        <v>9</v>
      </c>
      <c r="O19" s="148" t="s">
        <v>50</v>
      </c>
      <c r="P19" s="149"/>
      <c r="Q19" s="149"/>
      <c r="R19" s="150" t="s">
        <v>55</v>
      </c>
      <c r="S19" s="149" t="s">
        <v>158</v>
      </c>
      <c r="T19" s="151">
        <v>42359</v>
      </c>
      <c r="U19" s="149"/>
      <c r="V19" s="149"/>
      <c r="W19" s="15"/>
    </row>
    <row r="20" spans="1:24" s="14" customFormat="1" ht="30">
      <c r="A20" s="353"/>
      <c r="B20" s="152" t="s">
        <v>141</v>
      </c>
      <c r="C20" s="153" t="s">
        <v>43</v>
      </c>
      <c r="D20" s="153" t="s">
        <v>42</v>
      </c>
      <c r="E20" s="153"/>
      <c r="F20" s="154">
        <v>173844</v>
      </c>
      <c r="G20" s="155">
        <f t="shared" si="0"/>
        <v>0.65</v>
      </c>
      <c r="H20" s="156">
        <f>(F20*0.65)*0.85</f>
        <v>96048.81</v>
      </c>
      <c r="I20" s="156">
        <v>0</v>
      </c>
      <c r="J20" s="156">
        <f>(F20*0.65)*0.15</f>
        <v>16949.79</v>
      </c>
      <c r="K20" s="156">
        <v>0</v>
      </c>
      <c r="L20" s="156">
        <v>0</v>
      </c>
      <c r="M20" s="156">
        <f>F20*0.35</f>
        <v>60845.399999999994</v>
      </c>
      <c r="N20" s="157" t="s">
        <v>9</v>
      </c>
      <c r="O20" s="157" t="s">
        <v>50</v>
      </c>
      <c r="P20" s="158"/>
      <c r="Q20" s="158"/>
      <c r="R20" s="159" t="s">
        <v>55</v>
      </c>
      <c r="S20" s="158" t="s">
        <v>158</v>
      </c>
      <c r="T20" s="160">
        <v>42359</v>
      </c>
      <c r="U20" s="158"/>
      <c r="V20" s="161"/>
      <c r="W20" s="15"/>
      <c r="X20" s="17"/>
    </row>
    <row r="21" spans="1:24" s="14" customFormat="1" ht="30">
      <c r="A21" s="353"/>
      <c r="B21" s="162" t="s">
        <v>142</v>
      </c>
      <c r="C21" s="163" t="s">
        <v>44</v>
      </c>
      <c r="D21" s="163" t="s">
        <v>49</v>
      </c>
      <c r="E21" s="163"/>
      <c r="F21" s="164">
        <v>127576.6</v>
      </c>
      <c r="G21" s="165">
        <f t="shared" si="0"/>
        <v>0.63032993511349256</v>
      </c>
      <c r="H21" s="166">
        <v>68353.039999999994</v>
      </c>
      <c r="I21" s="166">
        <v>0</v>
      </c>
      <c r="J21" s="166">
        <v>12062.31</v>
      </c>
      <c r="K21" s="166">
        <v>0</v>
      </c>
      <c r="L21" s="166">
        <v>0</v>
      </c>
      <c r="M21" s="166">
        <v>47161.25</v>
      </c>
      <c r="N21" s="167" t="s">
        <v>9</v>
      </c>
      <c r="O21" s="167" t="s">
        <v>50</v>
      </c>
      <c r="P21" s="168"/>
      <c r="Q21" s="168"/>
      <c r="R21" s="169" t="s">
        <v>57</v>
      </c>
      <c r="S21" s="168" t="s">
        <v>158</v>
      </c>
      <c r="T21" s="170">
        <v>42359</v>
      </c>
      <c r="U21" s="168"/>
      <c r="V21" s="171"/>
      <c r="W21" s="15"/>
    </row>
    <row r="22" spans="1:24" s="14" customFormat="1" ht="45">
      <c r="A22" s="353"/>
      <c r="B22" s="172" t="s">
        <v>143</v>
      </c>
      <c r="C22" s="19" t="s">
        <v>47</v>
      </c>
      <c r="D22" s="19" t="s">
        <v>48</v>
      </c>
      <c r="E22" s="37"/>
      <c r="F22" s="20">
        <v>97982</v>
      </c>
      <c r="G22" s="173">
        <f t="shared" si="0"/>
        <v>0.649999897940438</v>
      </c>
      <c r="H22" s="174">
        <f>(F22*0.65)*0.85-0.01</f>
        <v>54135.044999999998</v>
      </c>
      <c r="I22" s="174">
        <v>0</v>
      </c>
      <c r="J22" s="174">
        <f t="shared" ref="J22:J31" si="4">F22*0.0975</f>
        <v>9553.2450000000008</v>
      </c>
      <c r="K22" s="174">
        <v>0</v>
      </c>
      <c r="L22" s="174">
        <v>0</v>
      </c>
      <c r="M22" s="174">
        <f>F22*0.35</f>
        <v>34293.699999999997</v>
      </c>
      <c r="N22" s="175" t="s">
        <v>10</v>
      </c>
      <c r="O22" s="176" t="s">
        <v>115</v>
      </c>
      <c r="P22" s="177"/>
      <c r="Q22" s="177"/>
      <c r="R22" s="177" t="s">
        <v>57</v>
      </c>
      <c r="S22" s="178" t="s">
        <v>158</v>
      </c>
      <c r="T22" s="179">
        <v>42359</v>
      </c>
      <c r="U22" s="177"/>
      <c r="V22" s="180"/>
      <c r="W22" s="15"/>
    </row>
    <row r="23" spans="1:24" s="14" customFormat="1" ht="45">
      <c r="A23" s="353"/>
      <c r="B23" s="172" t="s">
        <v>146</v>
      </c>
      <c r="C23" s="19" t="s">
        <v>12</v>
      </c>
      <c r="D23" s="19" t="s">
        <v>13</v>
      </c>
      <c r="E23" s="19"/>
      <c r="F23" s="21">
        <v>233145</v>
      </c>
      <c r="G23" s="173">
        <f t="shared" si="0"/>
        <v>0.65</v>
      </c>
      <c r="H23" s="174">
        <f>(F23*0.65)*0.85</f>
        <v>128812.6125</v>
      </c>
      <c r="I23" s="174">
        <v>0</v>
      </c>
      <c r="J23" s="174">
        <f t="shared" si="4"/>
        <v>22731.637500000001</v>
      </c>
      <c r="K23" s="174">
        <v>0</v>
      </c>
      <c r="L23" s="174">
        <v>0</v>
      </c>
      <c r="M23" s="174">
        <f>F23*0.35</f>
        <v>81600.75</v>
      </c>
      <c r="N23" s="175" t="s">
        <v>10</v>
      </c>
      <c r="O23" s="176" t="s">
        <v>115</v>
      </c>
      <c r="P23" s="177"/>
      <c r="Q23" s="177"/>
      <c r="R23" s="177" t="s">
        <v>57</v>
      </c>
      <c r="S23" s="178" t="s">
        <v>158</v>
      </c>
      <c r="T23" s="179">
        <v>42359</v>
      </c>
      <c r="U23" s="177"/>
      <c r="V23" s="180"/>
      <c r="W23" s="15"/>
    </row>
    <row r="24" spans="1:24" s="14" customFormat="1" ht="45">
      <c r="A24" s="353"/>
      <c r="B24" s="172" t="s">
        <v>147</v>
      </c>
      <c r="C24" s="19" t="s">
        <v>14</v>
      </c>
      <c r="D24" s="19" t="s">
        <v>15</v>
      </c>
      <c r="E24" s="19"/>
      <c r="F24" s="21">
        <v>229515</v>
      </c>
      <c r="G24" s="173">
        <f t="shared" si="0"/>
        <v>0.64999999254035612</v>
      </c>
      <c r="H24" s="174">
        <f t="shared" ref="H24:H30" si="5">F24*0.552499948970219</f>
        <v>126807.02578789982</v>
      </c>
      <c r="I24" s="174">
        <v>0</v>
      </c>
      <c r="J24" s="174">
        <f>F24*0.0975+0.01</f>
        <v>22377.7225</v>
      </c>
      <c r="K24" s="174">
        <v>0</v>
      </c>
      <c r="L24" s="174">
        <v>0</v>
      </c>
      <c r="M24" s="174">
        <f>F24*0.35</f>
        <v>80330.25</v>
      </c>
      <c r="N24" s="175" t="s">
        <v>10</v>
      </c>
      <c r="O24" s="176" t="s">
        <v>115</v>
      </c>
      <c r="P24" s="177"/>
      <c r="Q24" s="177"/>
      <c r="R24" s="177" t="s">
        <v>57</v>
      </c>
      <c r="S24" s="178" t="s">
        <v>158</v>
      </c>
      <c r="T24" s="179">
        <v>42359</v>
      </c>
      <c r="U24" s="177"/>
      <c r="V24" s="180"/>
      <c r="W24" s="15"/>
    </row>
    <row r="25" spans="1:24" s="14" customFormat="1" ht="45">
      <c r="A25" s="353"/>
      <c r="B25" s="172" t="s">
        <v>144</v>
      </c>
      <c r="C25" s="19" t="s">
        <v>16</v>
      </c>
      <c r="D25" s="19" t="s">
        <v>17</v>
      </c>
      <c r="E25" s="19"/>
      <c r="F25" s="21">
        <v>85569</v>
      </c>
      <c r="G25" s="155">
        <f t="shared" si="0"/>
        <v>0.64999994897021907</v>
      </c>
      <c r="H25" s="156">
        <f t="shared" si="5"/>
        <v>47276.868133432676</v>
      </c>
      <c r="I25" s="156">
        <v>0</v>
      </c>
      <c r="J25" s="156">
        <f t="shared" si="4"/>
        <v>8342.9775000000009</v>
      </c>
      <c r="K25" s="156">
        <v>0</v>
      </c>
      <c r="L25" s="156">
        <v>0</v>
      </c>
      <c r="M25" s="156">
        <f>F25*0.35</f>
        <v>29949.149999999998</v>
      </c>
      <c r="N25" s="181" t="s">
        <v>10</v>
      </c>
      <c r="O25" s="153" t="s">
        <v>115</v>
      </c>
      <c r="P25" s="159"/>
      <c r="Q25" s="159"/>
      <c r="R25" s="159" t="s">
        <v>57</v>
      </c>
      <c r="S25" s="158" t="s">
        <v>158</v>
      </c>
      <c r="T25" s="160">
        <v>42359</v>
      </c>
      <c r="U25" s="159"/>
      <c r="V25" s="182"/>
      <c r="W25" s="15"/>
    </row>
    <row r="26" spans="1:24" s="14" customFormat="1" ht="45">
      <c r="A26" s="353"/>
      <c r="B26" s="152" t="s">
        <v>145</v>
      </c>
      <c r="C26" s="19" t="s">
        <v>18</v>
      </c>
      <c r="D26" s="19" t="s">
        <v>19</v>
      </c>
      <c r="E26" s="19"/>
      <c r="F26" s="21">
        <v>47190</v>
      </c>
      <c r="G26" s="183">
        <f t="shared" si="0"/>
        <v>0.64999994897021907</v>
      </c>
      <c r="H26" s="138">
        <f t="shared" si="5"/>
        <v>26072.472591904636</v>
      </c>
      <c r="I26" s="138">
        <v>0</v>
      </c>
      <c r="J26" s="138">
        <f t="shared" si="4"/>
        <v>4601.0250000000005</v>
      </c>
      <c r="K26" s="138">
        <v>0</v>
      </c>
      <c r="L26" s="138">
        <v>0</v>
      </c>
      <c r="M26" s="138">
        <v>15516.5</v>
      </c>
      <c r="N26" s="184" t="s">
        <v>10</v>
      </c>
      <c r="O26" s="135" t="s">
        <v>115</v>
      </c>
      <c r="P26" s="28"/>
      <c r="Q26" s="28"/>
      <c r="R26" s="22" t="s">
        <v>57</v>
      </c>
      <c r="S26" s="28" t="s">
        <v>158</v>
      </c>
      <c r="T26" s="185">
        <v>42359</v>
      </c>
      <c r="U26" s="28"/>
      <c r="V26" s="16"/>
      <c r="W26" s="15"/>
    </row>
    <row r="27" spans="1:24" s="14" customFormat="1" ht="45">
      <c r="A27" s="353"/>
      <c r="B27" s="143" t="s">
        <v>148</v>
      </c>
      <c r="C27" s="18" t="s">
        <v>20</v>
      </c>
      <c r="D27" s="18" t="s">
        <v>17</v>
      </c>
      <c r="E27" s="18"/>
      <c r="F27" s="21">
        <v>90651</v>
      </c>
      <c r="G27" s="183">
        <f t="shared" si="0"/>
        <v>0.6500000592833981</v>
      </c>
      <c r="H27" s="138">
        <f t="shared" si="5"/>
        <v>50084.672874099328</v>
      </c>
      <c r="I27" s="138">
        <v>0</v>
      </c>
      <c r="J27" s="138">
        <f>F27*0.0975+0.01</f>
        <v>8838.4825000000001</v>
      </c>
      <c r="K27" s="138">
        <v>0</v>
      </c>
      <c r="L27" s="138">
        <v>0</v>
      </c>
      <c r="M27" s="21">
        <v>31727.850000000002</v>
      </c>
      <c r="N27" s="184" t="s">
        <v>10</v>
      </c>
      <c r="O27" s="135" t="s">
        <v>115</v>
      </c>
      <c r="P27" s="28"/>
      <c r="Q27" s="28"/>
      <c r="R27" s="22" t="s">
        <v>57</v>
      </c>
      <c r="S27" s="28" t="s">
        <v>158</v>
      </c>
      <c r="T27" s="185">
        <v>42359</v>
      </c>
      <c r="U27" s="28"/>
      <c r="V27" s="16"/>
      <c r="W27" s="15"/>
    </row>
    <row r="28" spans="1:24" s="14" customFormat="1" ht="45">
      <c r="A28" s="353"/>
      <c r="B28" s="143" t="s">
        <v>149</v>
      </c>
      <c r="C28" s="18" t="s">
        <v>21</v>
      </c>
      <c r="D28" s="19" t="s">
        <v>19</v>
      </c>
      <c r="E28" s="19"/>
      <c r="F28" s="21">
        <v>96459</v>
      </c>
      <c r="G28" s="183">
        <f t="shared" si="0"/>
        <v>0.65000005264120875</v>
      </c>
      <c r="H28" s="138">
        <f t="shared" si="5"/>
        <v>53293.592577718358</v>
      </c>
      <c r="I28" s="138">
        <v>0</v>
      </c>
      <c r="J28" s="138">
        <f>F28*0.0975+0.01</f>
        <v>9404.7625000000007</v>
      </c>
      <c r="K28" s="138">
        <v>0</v>
      </c>
      <c r="L28" s="138">
        <v>0</v>
      </c>
      <c r="M28" s="21">
        <v>33760.65</v>
      </c>
      <c r="N28" s="184" t="s">
        <v>10</v>
      </c>
      <c r="O28" s="135" t="s">
        <v>115</v>
      </c>
      <c r="P28" s="28"/>
      <c r="Q28" s="28"/>
      <c r="R28" s="22" t="s">
        <v>57</v>
      </c>
      <c r="S28" s="28" t="s">
        <v>158</v>
      </c>
      <c r="T28" s="185">
        <v>42359</v>
      </c>
      <c r="U28" s="28"/>
      <c r="V28" s="16"/>
      <c r="W28" s="15"/>
    </row>
    <row r="29" spans="1:24" s="14" customFormat="1" ht="45">
      <c r="A29" s="353"/>
      <c r="B29" s="143" t="s">
        <v>150</v>
      </c>
      <c r="C29" s="19" t="s">
        <v>22</v>
      </c>
      <c r="D29" s="19" t="s">
        <v>23</v>
      </c>
      <c r="E29" s="19"/>
      <c r="F29" s="21">
        <v>53526</v>
      </c>
      <c r="G29" s="183">
        <f t="shared" si="0"/>
        <v>0.64999994897021907</v>
      </c>
      <c r="H29" s="138">
        <f t="shared" si="5"/>
        <v>29573.112268579946</v>
      </c>
      <c r="I29" s="138">
        <v>0</v>
      </c>
      <c r="J29" s="138">
        <f t="shared" si="4"/>
        <v>5218.7849999999999</v>
      </c>
      <c r="K29" s="138">
        <v>0</v>
      </c>
      <c r="L29" s="138">
        <v>0</v>
      </c>
      <c r="M29" s="21">
        <v>18734.099999999999</v>
      </c>
      <c r="N29" s="184" t="s">
        <v>10</v>
      </c>
      <c r="O29" s="135" t="s">
        <v>115</v>
      </c>
      <c r="P29" s="29"/>
      <c r="Q29" s="29"/>
      <c r="R29" s="23" t="s">
        <v>57</v>
      </c>
      <c r="S29" s="29" t="s">
        <v>158</v>
      </c>
      <c r="T29" s="185">
        <v>42359</v>
      </c>
      <c r="U29" s="29"/>
      <c r="V29" s="24"/>
      <c r="W29" s="15"/>
    </row>
    <row r="30" spans="1:24" s="26" customFormat="1" ht="45">
      <c r="A30" s="353"/>
      <c r="B30" s="143" t="s">
        <v>151</v>
      </c>
      <c r="C30" s="19" t="s">
        <v>24</v>
      </c>
      <c r="D30" s="19" t="s">
        <v>25</v>
      </c>
      <c r="E30" s="53"/>
      <c r="F30" s="25">
        <v>46992</v>
      </c>
      <c r="G30" s="115">
        <f t="shared" si="0"/>
        <v>0.64999994897021907</v>
      </c>
      <c r="H30" s="117">
        <f t="shared" si="5"/>
        <v>25963.077602008532</v>
      </c>
      <c r="I30" s="117">
        <v>0</v>
      </c>
      <c r="J30" s="117">
        <f t="shared" si="4"/>
        <v>4581.72</v>
      </c>
      <c r="K30" s="117">
        <v>0</v>
      </c>
      <c r="L30" s="117">
        <v>0</v>
      </c>
      <c r="M30" s="21">
        <v>16447.199999999997</v>
      </c>
      <c r="N30" s="186" t="s">
        <v>10</v>
      </c>
      <c r="O30" s="113" t="s">
        <v>115</v>
      </c>
      <c r="P30" s="132"/>
      <c r="Q30" s="132"/>
      <c r="R30" s="132" t="s">
        <v>57</v>
      </c>
      <c r="S30" s="132" t="s">
        <v>158</v>
      </c>
      <c r="T30" s="132">
        <v>42359</v>
      </c>
      <c r="U30" s="132"/>
      <c r="V30" s="187"/>
      <c r="W30" s="15"/>
    </row>
    <row r="31" spans="1:24" s="14" customFormat="1" ht="45">
      <c r="A31" s="353"/>
      <c r="B31" s="143" t="s">
        <v>152</v>
      </c>
      <c r="C31" s="19" t="s">
        <v>26</v>
      </c>
      <c r="D31" s="19" t="s">
        <v>25</v>
      </c>
      <c r="E31" s="60"/>
      <c r="F31" s="21">
        <v>46200</v>
      </c>
      <c r="G31" s="115">
        <f t="shared" si="0"/>
        <v>0.64999994897021895</v>
      </c>
      <c r="H31" s="117">
        <f>F31*0.552499948970219</f>
        <v>25525.497642424118</v>
      </c>
      <c r="I31" s="117">
        <v>0</v>
      </c>
      <c r="J31" s="117">
        <f t="shared" si="4"/>
        <v>4504.5</v>
      </c>
      <c r="K31" s="117">
        <v>0</v>
      </c>
      <c r="L31" s="117">
        <v>0</v>
      </c>
      <c r="M31" s="21">
        <v>16170</v>
      </c>
      <c r="N31" s="186" t="s">
        <v>10</v>
      </c>
      <c r="O31" s="113" t="s">
        <v>115</v>
      </c>
      <c r="P31" s="132"/>
      <c r="Q31" s="132"/>
      <c r="R31" s="188" t="s">
        <v>57</v>
      </c>
      <c r="S31" s="132" t="s">
        <v>158</v>
      </c>
      <c r="T31" s="132">
        <v>42359</v>
      </c>
      <c r="U31" s="132"/>
      <c r="V31" s="187"/>
      <c r="W31" s="15"/>
    </row>
    <row r="32" spans="1:24" s="14" customFormat="1" ht="30">
      <c r="A32" s="353"/>
      <c r="B32" s="18" t="s">
        <v>70</v>
      </c>
      <c r="C32" s="19" t="s">
        <v>71</v>
      </c>
      <c r="D32" s="61" t="s">
        <v>72</v>
      </c>
      <c r="E32" s="189"/>
      <c r="F32" s="116">
        <f t="shared" ref="F32:F63" si="6">H32+I32+J32+K32+L32+M32</f>
        <v>206679</v>
      </c>
      <c r="G32" s="115">
        <v>0.65</v>
      </c>
      <c r="H32" s="117">
        <v>114190.14</v>
      </c>
      <c r="I32" s="117">
        <v>0</v>
      </c>
      <c r="J32" s="117">
        <v>20151.21</v>
      </c>
      <c r="K32" s="117">
        <v>0</v>
      </c>
      <c r="L32" s="117">
        <v>0</v>
      </c>
      <c r="M32" s="21">
        <v>72337.649999999994</v>
      </c>
      <c r="N32" s="186" t="s">
        <v>67</v>
      </c>
      <c r="O32" s="113" t="s">
        <v>69</v>
      </c>
      <c r="P32" s="132"/>
      <c r="Q32" s="132"/>
      <c r="R32" s="188" t="s">
        <v>68</v>
      </c>
      <c r="S32" s="132" t="s">
        <v>158</v>
      </c>
      <c r="T32" s="132"/>
      <c r="U32" s="132"/>
      <c r="V32" s="187"/>
      <c r="W32" s="15"/>
    </row>
    <row r="33" spans="1:23" s="14" customFormat="1" ht="30">
      <c r="A33" s="353"/>
      <c r="B33" s="18" t="s">
        <v>73</v>
      </c>
      <c r="C33" s="19" t="s">
        <v>74</v>
      </c>
      <c r="D33" s="61" t="s">
        <v>75</v>
      </c>
      <c r="E33" s="189"/>
      <c r="F33" s="116">
        <f t="shared" si="6"/>
        <v>60790.999999999993</v>
      </c>
      <c r="G33" s="115">
        <v>0.65</v>
      </c>
      <c r="H33" s="117">
        <v>33587.019999999997</v>
      </c>
      <c r="I33" s="117">
        <v>0</v>
      </c>
      <c r="J33" s="117">
        <v>5927.13</v>
      </c>
      <c r="K33" s="117">
        <v>0</v>
      </c>
      <c r="L33" s="117">
        <v>0</v>
      </c>
      <c r="M33" s="21">
        <v>21276.85</v>
      </c>
      <c r="N33" s="186" t="s">
        <v>67</v>
      </c>
      <c r="O33" s="113" t="s">
        <v>69</v>
      </c>
      <c r="P33" s="132"/>
      <c r="Q33" s="132"/>
      <c r="R33" s="188" t="s">
        <v>68</v>
      </c>
      <c r="S33" s="132" t="s">
        <v>158</v>
      </c>
      <c r="T33" s="132"/>
      <c r="U33" s="132"/>
      <c r="V33" s="187"/>
      <c r="W33" s="15"/>
    </row>
    <row r="34" spans="1:23" s="14" customFormat="1" ht="30">
      <c r="A34" s="353"/>
      <c r="B34" s="18" t="s">
        <v>76</v>
      </c>
      <c r="C34" s="19" t="s">
        <v>77</v>
      </c>
      <c r="D34" s="61" t="s">
        <v>75</v>
      </c>
      <c r="E34" s="189"/>
      <c r="F34" s="116">
        <f t="shared" si="6"/>
        <v>83297</v>
      </c>
      <c r="G34" s="115">
        <v>0.65</v>
      </c>
      <c r="H34" s="117">
        <v>46021.59</v>
      </c>
      <c r="I34" s="117">
        <v>0</v>
      </c>
      <c r="J34" s="117">
        <v>8121.46</v>
      </c>
      <c r="K34" s="117">
        <v>0</v>
      </c>
      <c r="L34" s="117">
        <v>0</v>
      </c>
      <c r="M34" s="21">
        <v>29153.95</v>
      </c>
      <c r="N34" s="186" t="s">
        <v>67</v>
      </c>
      <c r="O34" s="113" t="s">
        <v>69</v>
      </c>
      <c r="P34" s="132"/>
      <c r="Q34" s="132"/>
      <c r="R34" s="188" t="s">
        <v>68</v>
      </c>
      <c r="S34" s="132" t="s">
        <v>158</v>
      </c>
      <c r="T34" s="132"/>
      <c r="U34" s="132"/>
      <c r="V34" s="187"/>
      <c r="W34" s="15"/>
    </row>
    <row r="35" spans="1:23" s="14" customFormat="1" ht="30">
      <c r="A35" s="353"/>
      <c r="B35" s="18" t="s">
        <v>78</v>
      </c>
      <c r="C35" s="19" t="s">
        <v>79</v>
      </c>
      <c r="D35" s="61" t="s">
        <v>80</v>
      </c>
      <c r="E35" s="189"/>
      <c r="F35" s="116">
        <f t="shared" si="6"/>
        <v>30191.699999999997</v>
      </c>
      <c r="G35" s="115">
        <v>0.5</v>
      </c>
      <c r="H35" s="117">
        <v>12831.47</v>
      </c>
      <c r="I35" s="117">
        <v>0</v>
      </c>
      <c r="J35" s="117">
        <v>2264.38</v>
      </c>
      <c r="K35" s="117">
        <v>0</v>
      </c>
      <c r="L35" s="117">
        <v>0</v>
      </c>
      <c r="M35" s="21">
        <v>15095.85</v>
      </c>
      <c r="N35" s="186" t="s">
        <v>67</v>
      </c>
      <c r="O35" s="113" t="s">
        <v>69</v>
      </c>
      <c r="P35" s="132"/>
      <c r="Q35" s="132"/>
      <c r="R35" s="188" t="s">
        <v>68</v>
      </c>
      <c r="S35" s="132" t="s">
        <v>158</v>
      </c>
      <c r="T35" s="132"/>
      <c r="U35" s="132"/>
      <c r="V35" s="187"/>
      <c r="W35" s="15"/>
    </row>
    <row r="36" spans="1:23" s="14" customFormat="1" ht="30">
      <c r="A36" s="353"/>
      <c r="B36" s="18" t="s">
        <v>81</v>
      </c>
      <c r="C36" s="19" t="s">
        <v>82</v>
      </c>
      <c r="D36" s="61" t="s">
        <v>83</v>
      </c>
      <c r="E36" s="189"/>
      <c r="F36" s="116">
        <f t="shared" si="6"/>
        <v>25747.9</v>
      </c>
      <c r="G36" s="115">
        <v>0.5</v>
      </c>
      <c r="H36" s="117">
        <v>10942.85</v>
      </c>
      <c r="I36" s="117">
        <v>0</v>
      </c>
      <c r="J36" s="117">
        <v>1931.1</v>
      </c>
      <c r="K36" s="117">
        <v>0</v>
      </c>
      <c r="L36" s="117">
        <v>0</v>
      </c>
      <c r="M36" s="21">
        <v>12873.95</v>
      </c>
      <c r="N36" s="186" t="s">
        <v>67</v>
      </c>
      <c r="O36" s="113" t="s">
        <v>69</v>
      </c>
      <c r="P36" s="132"/>
      <c r="Q36" s="132"/>
      <c r="R36" s="188" t="s">
        <v>68</v>
      </c>
      <c r="S36" s="132" t="s">
        <v>158</v>
      </c>
      <c r="T36" s="132"/>
      <c r="U36" s="132"/>
      <c r="V36" s="187"/>
      <c r="W36" s="15"/>
    </row>
    <row r="37" spans="1:23" s="14" customFormat="1" ht="30">
      <c r="A37" s="353"/>
      <c r="B37" s="18" t="s">
        <v>84</v>
      </c>
      <c r="C37" s="19" t="s">
        <v>85</v>
      </c>
      <c r="D37" s="61" t="s">
        <v>83</v>
      </c>
      <c r="E37" s="189"/>
      <c r="F37" s="116">
        <f t="shared" si="6"/>
        <v>94300.049999999988</v>
      </c>
      <c r="G37" s="115">
        <v>0.5</v>
      </c>
      <c r="H37" s="117">
        <v>40077.519999999997</v>
      </c>
      <c r="I37" s="117">
        <v>0</v>
      </c>
      <c r="J37" s="117">
        <v>7072.51</v>
      </c>
      <c r="K37" s="117">
        <v>0</v>
      </c>
      <c r="L37" s="117">
        <v>0</v>
      </c>
      <c r="M37" s="21">
        <v>47150.02</v>
      </c>
      <c r="N37" s="186" t="s">
        <v>67</v>
      </c>
      <c r="O37" s="113" t="s">
        <v>69</v>
      </c>
      <c r="P37" s="132"/>
      <c r="Q37" s="132"/>
      <c r="R37" s="188" t="s">
        <v>68</v>
      </c>
      <c r="S37" s="132" t="s">
        <v>158</v>
      </c>
      <c r="T37" s="132"/>
      <c r="U37" s="132"/>
      <c r="V37" s="187"/>
      <c r="W37" s="15"/>
    </row>
    <row r="38" spans="1:23" s="14" customFormat="1" ht="30">
      <c r="A38" s="353"/>
      <c r="B38" s="18" t="s">
        <v>86</v>
      </c>
      <c r="C38" s="19" t="s">
        <v>87</v>
      </c>
      <c r="D38" s="61" t="s">
        <v>88</v>
      </c>
      <c r="E38" s="189"/>
      <c r="F38" s="116">
        <f t="shared" si="6"/>
        <v>38940</v>
      </c>
      <c r="G38" s="115">
        <v>0.65</v>
      </c>
      <c r="H38" s="117">
        <v>21514.35</v>
      </c>
      <c r="I38" s="117">
        <v>0</v>
      </c>
      <c r="J38" s="117">
        <v>3796.65</v>
      </c>
      <c r="K38" s="117">
        <v>0</v>
      </c>
      <c r="L38" s="117">
        <v>0</v>
      </c>
      <c r="M38" s="21">
        <v>13629</v>
      </c>
      <c r="N38" s="186" t="s">
        <v>67</v>
      </c>
      <c r="O38" s="113" t="s">
        <v>69</v>
      </c>
      <c r="P38" s="132"/>
      <c r="Q38" s="132"/>
      <c r="R38" s="188" t="s">
        <v>68</v>
      </c>
      <c r="S38" s="132" t="s">
        <v>158</v>
      </c>
      <c r="T38" s="132"/>
      <c r="U38" s="132"/>
      <c r="V38" s="187"/>
      <c r="W38" s="15"/>
    </row>
    <row r="39" spans="1:23" s="14" customFormat="1" ht="30">
      <c r="A39" s="353"/>
      <c r="B39" s="18" t="s">
        <v>89</v>
      </c>
      <c r="C39" s="19" t="s">
        <v>90</v>
      </c>
      <c r="D39" s="61" t="s">
        <v>80</v>
      </c>
      <c r="E39" s="189"/>
      <c r="F39" s="116">
        <f t="shared" si="6"/>
        <v>114231.8</v>
      </c>
      <c r="G39" s="115">
        <v>0.5</v>
      </c>
      <c r="H39" s="117">
        <v>48548.51</v>
      </c>
      <c r="I39" s="117">
        <v>0</v>
      </c>
      <c r="J39" s="117">
        <v>8567.39</v>
      </c>
      <c r="K39" s="117">
        <v>0</v>
      </c>
      <c r="L39" s="117">
        <v>0</v>
      </c>
      <c r="M39" s="21">
        <v>57115.9</v>
      </c>
      <c r="N39" s="186" t="s">
        <v>67</v>
      </c>
      <c r="O39" s="113" t="s">
        <v>69</v>
      </c>
      <c r="P39" s="132"/>
      <c r="Q39" s="132"/>
      <c r="R39" s="188" t="s">
        <v>68</v>
      </c>
      <c r="S39" s="132" t="s">
        <v>158</v>
      </c>
      <c r="T39" s="132"/>
      <c r="U39" s="132"/>
      <c r="V39" s="187"/>
      <c r="W39" s="15"/>
    </row>
    <row r="40" spans="1:23" s="14" customFormat="1" ht="30">
      <c r="A40" s="353"/>
      <c r="B40" s="18" t="s">
        <v>91</v>
      </c>
      <c r="C40" s="19" t="s">
        <v>92</v>
      </c>
      <c r="D40" s="61" t="s">
        <v>93</v>
      </c>
      <c r="E40" s="189"/>
      <c r="F40" s="116">
        <f t="shared" si="6"/>
        <v>57508</v>
      </c>
      <c r="G40" s="115">
        <v>0.5</v>
      </c>
      <c r="H40" s="117">
        <v>24440.9</v>
      </c>
      <c r="I40" s="117">
        <v>0</v>
      </c>
      <c r="J40" s="117">
        <v>4313.1000000000004</v>
      </c>
      <c r="K40" s="117">
        <v>0</v>
      </c>
      <c r="L40" s="117">
        <v>0</v>
      </c>
      <c r="M40" s="21">
        <v>28754</v>
      </c>
      <c r="N40" s="186" t="s">
        <v>67</v>
      </c>
      <c r="O40" s="113" t="s">
        <v>69</v>
      </c>
      <c r="P40" s="132"/>
      <c r="Q40" s="132"/>
      <c r="R40" s="188" t="s">
        <v>68</v>
      </c>
      <c r="S40" s="132" t="s">
        <v>158</v>
      </c>
      <c r="T40" s="132"/>
      <c r="U40" s="132"/>
      <c r="V40" s="187"/>
      <c r="W40" s="15"/>
    </row>
    <row r="41" spans="1:23" s="14" customFormat="1" ht="30">
      <c r="A41" s="353"/>
      <c r="B41" s="18" t="s">
        <v>112</v>
      </c>
      <c r="C41" s="19" t="s">
        <v>118</v>
      </c>
      <c r="D41" s="61" t="s">
        <v>97</v>
      </c>
      <c r="E41" s="189"/>
      <c r="F41" s="116">
        <f t="shared" si="6"/>
        <v>20988</v>
      </c>
      <c r="G41" s="115">
        <v>0.65</v>
      </c>
      <c r="H41" s="117">
        <v>11595.87</v>
      </c>
      <c r="I41" s="117">
        <v>0</v>
      </c>
      <c r="J41" s="117">
        <v>2046.33</v>
      </c>
      <c r="K41" s="117">
        <v>0</v>
      </c>
      <c r="L41" s="117">
        <v>0</v>
      </c>
      <c r="M41" s="21">
        <v>7345.8</v>
      </c>
      <c r="N41" s="186" t="s">
        <v>94</v>
      </c>
      <c r="O41" s="113" t="s">
        <v>96</v>
      </c>
      <c r="P41" s="132"/>
      <c r="Q41" s="132"/>
      <c r="R41" s="188" t="s">
        <v>95</v>
      </c>
      <c r="S41" s="132" t="s">
        <v>158</v>
      </c>
      <c r="T41" s="132"/>
      <c r="U41" s="132"/>
      <c r="V41" s="187"/>
      <c r="W41" s="15"/>
    </row>
    <row r="42" spans="1:23" s="14" customFormat="1" ht="30">
      <c r="A42" s="353"/>
      <c r="B42" s="18" t="s">
        <v>98</v>
      </c>
      <c r="C42" s="19" t="s">
        <v>99</v>
      </c>
      <c r="D42" s="61" t="s">
        <v>100</v>
      </c>
      <c r="E42" s="189"/>
      <c r="F42" s="116">
        <f t="shared" si="6"/>
        <v>143092.15</v>
      </c>
      <c r="G42" s="115">
        <v>0.54</v>
      </c>
      <c r="H42" s="117">
        <v>65152.1</v>
      </c>
      <c r="I42" s="117">
        <v>0</v>
      </c>
      <c r="J42" s="117">
        <v>11497.43</v>
      </c>
      <c r="K42" s="117">
        <v>0</v>
      </c>
      <c r="L42" s="117">
        <v>0</v>
      </c>
      <c r="M42" s="21">
        <v>66442.62</v>
      </c>
      <c r="N42" s="186" t="s">
        <v>94</v>
      </c>
      <c r="O42" s="113" t="s">
        <v>96</v>
      </c>
      <c r="P42" s="132"/>
      <c r="Q42" s="132"/>
      <c r="R42" s="188" t="s">
        <v>95</v>
      </c>
      <c r="S42" s="132" t="s">
        <v>158</v>
      </c>
      <c r="T42" s="132"/>
      <c r="U42" s="132"/>
      <c r="V42" s="187"/>
      <c r="W42" s="15"/>
    </row>
    <row r="43" spans="1:23" s="14" customFormat="1" ht="30">
      <c r="A43" s="353"/>
      <c r="B43" s="18" t="s">
        <v>101</v>
      </c>
      <c r="C43" s="19" t="s">
        <v>102</v>
      </c>
      <c r="D43" s="61" t="s">
        <v>100</v>
      </c>
      <c r="E43" s="189"/>
      <c r="F43" s="116">
        <f t="shared" si="6"/>
        <v>59664.55</v>
      </c>
      <c r="G43" s="115">
        <v>0.5</v>
      </c>
      <c r="H43" s="117">
        <v>25357.43</v>
      </c>
      <c r="I43" s="117">
        <v>0</v>
      </c>
      <c r="J43" s="117">
        <v>4474.8500000000004</v>
      </c>
      <c r="K43" s="117">
        <v>0</v>
      </c>
      <c r="L43" s="117">
        <v>0</v>
      </c>
      <c r="M43" s="21">
        <v>29832.27</v>
      </c>
      <c r="N43" s="186" t="s">
        <v>94</v>
      </c>
      <c r="O43" s="113" t="s">
        <v>96</v>
      </c>
      <c r="P43" s="132"/>
      <c r="Q43" s="132"/>
      <c r="R43" s="188" t="s">
        <v>95</v>
      </c>
      <c r="S43" s="132" t="s">
        <v>158</v>
      </c>
      <c r="T43" s="132"/>
      <c r="U43" s="132"/>
      <c r="V43" s="187"/>
      <c r="W43" s="15"/>
    </row>
    <row r="44" spans="1:23" s="14" customFormat="1" ht="30">
      <c r="A44" s="353"/>
      <c r="B44" s="18" t="s">
        <v>103</v>
      </c>
      <c r="C44" s="19" t="s">
        <v>104</v>
      </c>
      <c r="D44" s="61" t="s">
        <v>105</v>
      </c>
      <c r="E44" s="189"/>
      <c r="F44" s="116">
        <f t="shared" si="6"/>
        <v>15642</v>
      </c>
      <c r="G44" s="115">
        <v>0.65</v>
      </c>
      <c r="H44" s="117">
        <v>8642.2000000000007</v>
      </c>
      <c r="I44" s="117">
        <v>0</v>
      </c>
      <c r="J44" s="117">
        <v>1525.1</v>
      </c>
      <c r="K44" s="117">
        <v>0</v>
      </c>
      <c r="L44" s="117">
        <v>0</v>
      </c>
      <c r="M44" s="21">
        <v>5474.7</v>
      </c>
      <c r="N44" s="186" t="s">
        <v>94</v>
      </c>
      <c r="O44" s="113" t="s">
        <v>96</v>
      </c>
      <c r="P44" s="132"/>
      <c r="Q44" s="132"/>
      <c r="R44" s="188" t="s">
        <v>95</v>
      </c>
      <c r="S44" s="132" t="s">
        <v>158</v>
      </c>
      <c r="T44" s="132"/>
      <c r="U44" s="132"/>
      <c r="V44" s="187"/>
      <c r="W44" s="15"/>
    </row>
    <row r="45" spans="1:23" s="14" customFormat="1" ht="30">
      <c r="A45" s="353"/>
      <c r="B45" s="18" t="s">
        <v>106</v>
      </c>
      <c r="C45" s="19" t="s">
        <v>107</v>
      </c>
      <c r="D45" s="61" t="s">
        <v>108</v>
      </c>
      <c r="E45" s="189"/>
      <c r="F45" s="116">
        <f t="shared" si="6"/>
        <v>84225</v>
      </c>
      <c r="G45" s="115">
        <v>0.7</v>
      </c>
      <c r="H45" s="117">
        <v>50046.93</v>
      </c>
      <c r="I45" s="117">
        <v>0</v>
      </c>
      <c r="J45" s="117">
        <v>8831.82</v>
      </c>
      <c r="K45" s="117">
        <v>0</v>
      </c>
      <c r="L45" s="117">
        <v>0</v>
      </c>
      <c r="M45" s="21">
        <v>25346.25</v>
      </c>
      <c r="N45" s="186" t="s">
        <v>94</v>
      </c>
      <c r="O45" s="113" t="s">
        <v>96</v>
      </c>
      <c r="P45" s="132"/>
      <c r="Q45" s="132"/>
      <c r="R45" s="188" t="s">
        <v>95</v>
      </c>
      <c r="S45" s="132" t="s">
        <v>158</v>
      </c>
      <c r="T45" s="132"/>
      <c r="U45" s="132"/>
      <c r="V45" s="187"/>
      <c r="W45" s="15"/>
    </row>
    <row r="46" spans="1:23" s="14" customFormat="1" ht="30">
      <c r="A46" s="353"/>
      <c r="B46" s="113" t="s">
        <v>162</v>
      </c>
      <c r="C46" s="113" t="s">
        <v>171</v>
      </c>
      <c r="D46" s="190" t="s">
        <v>178</v>
      </c>
      <c r="E46" s="117"/>
      <c r="F46" s="116">
        <f t="shared" si="6"/>
        <v>26793.5</v>
      </c>
      <c r="G46" s="115">
        <v>0.5</v>
      </c>
      <c r="H46" s="117">
        <v>11387.23</v>
      </c>
      <c r="I46" s="117">
        <v>0</v>
      </c>
      <c r="J46" s="117">
        <v>2009.52</v>
      </c>
      <c r="K46" s="117">
        <v>0</v>
      </c>
      <c r="L46" s="117">
        <v>0</v>
      </c>
      <c r="M46" s="117">
        <v>13396.75</v>
      </c>
      <c r="N46" s="191" t="s">
        <v>161</v>
      </c>
      <c r="O46" s="113"/>
      <c r="P46" s="121" t="s">
        <v>160</v>
      </c>
      <c r="Q46" s="121"/>
      <c r="R46" s="188" t="s">
        <v>221</v>
      </c>
      <c r="S46" s="121" t="s">
        <v>343</v>
      </c>
      <c r="T46" s="121"/>
      <c r="U46" s="121"/>
      <c r="V46" s="192"/>
      <c r="W46" s="15"/>
    </row>
    <row r="47" spans="1:23" s="14" customFormat="1" ht="30">
      <c r="A47" s="353"/>
      <c r="B47" s="193" t="s">
        <v>163</v>
      </c>
      <c r="C47" s="194" t="s">
        <v>172</v>
      </c>
      <c r="D47" s="33" t="s">
        <v>179</v>
      </c>
      <c r="E47" s="195"/>
      <c r="F47" s="117">
        <f t="shared" si="6"/>
        <v>184793.49</v>
      </c>
      <c r="G47" s="196">
        <v>0.75</v>
      </c>
      <c r="H47" s="195">
        <v>117805.85</v>
      </c>
      <c r="I47" s="117">
        <v>0</v>
      </c>
      <c r="J47" s="195">
        <v>20789.27</v>
      </c>
      <c r="K47" s="117">
        <v>0</v>
      </c>
      <c r="L47" s="195">
        <v>0</v>
      </c>
      <c r="M47" s="195">
        <v>46198.37</v>
      </c>
      <c r="N47" s="191" t="s">
        <v>161</v>
      </c>
      <c r="O47" s="113"/>
      <c r="P47" s="197" t="s">
        <v>160</v>
      </c>
      <c r="Q47" s="197" t="s">
        <v>203</v>
      </c>
      <c r="R47" s="188" t="s">
        <v>221</v>
      </c>
      <c r="S47" s="121" t="s">
        <v>544</v>
      </c>
      <c r="T47" s="121"/>
      <c r="U47" s="121"/>
      <c r="V47" s="192"/>
      <c r="W47" s="15"/>
    </row>
    <row r="48" spans="1:23" s="14" customFormat="1" ht="30">
      <c r="A48" s="353"/>
      <c r="B48" s="198" t="s">
        <v>164</v>
      </c>
      <c r="C48" s="199" t="s">
        <v>173</v>
      </c>
      <c r="D48" s="193" t="s">
        <v>180</v>
      </c>
      <c r="E48" s="195"/>
      <c r="F48" s="117">
        <f t="shared" si="6"/>
        <v>430864.85000000003</v>
      </c>
      <c r="G48" s="196">
        <v>0.65</v>
      </c>
      <c r="H48" s="195">
        <v>158095.42000000001</v>
      </c>
      <c r="I48" s="117">
        <v>0</v>
      </c>
      <c r="J48" s="195">
        <v>42757.33</v>
      </c>
      <c r="K48" s="117">
        <v>0</v>
      </c>
      <c r="L48" s="195">
        <v>79209.399999999994</v>
      </c>
      <c r="M48" s="195">
        <v>150802.70000000001</v>
      </c>
      <c r="N48" s="184" t="s">
        <v>161</v>
      </c>
      <c r="O48" s="113"/>
      <c r="P48" s="139" t="s">
        <v>160</v>
      </c>
      <c r="Q48" s="139" t="s">
        <v>203</v>
      </c>
      <c r="R48" s="188" t="s">
        <v>221</v>
      </c>
      <c r="S48" s="185" t="s">
        <v>545</v>
      </c>
      <c r="T48" s="185"/>
      <c r="U48" s="185"/>
      <c r="V48" s="200"/>
      <c r="W48" s="15"/>
    </row>
    <row r="49" spans="1:23" s="14" customFormat="1" ht="30">
      <c r="A49" s="353"/>
      <c r="B49" s="198" t="s">
        <v>165</v>
      </c>
      <c r="C49" s="33" t="s">
        <v>174</v>
      </c>
      <c r="D49" s="193" t="s">
        <v>181</v>
      </c>
      <c r="E49" s="195"/>
      <c r="F49" s="116">
        <f t="shared" si="6"/>
        <v>61625.05</v>
      </c>
      <c r="G49" s="115">
        <v>0.5</v>
      </c>
      <c r="H49" s="195">
        <v>26190.65</v>
      </c>
      <c r="I49" s="117">
        <v>0</v>
      </c>
      <c r="J49" s="195">
        <v>4621.88</v>
      </c>
      <c r="K49" s="117">
        <v>0</v>
      </c>
      <c r="L49" s="195">
        <v>0</v>
      </c>
      <c r="M49" s="195">
        <v>30812.52</v>
      </c>
      <c r="N49" s="184" t="s">
        <v>161</v>
      </c>
      <c r="O49" s="113"/>
      <c r="P49" s="185" t="s">
        <v>160</v>
      </c>
      <c r="Q49" s="185"/>
      <c r="R49" s="188" t="s">
        <v>221</v>
      </c>
      <c r="S49" s="185" t="s">
        <v>550</v>
      </c>
      <c r="T49" s="185"/>
      <c r="U49" s="185"/>
      <c r="V49" s="200"/>
      <c r="W49" s="15"/>
    </row>
    <row r="50" spans="1:23" s="14" customFormat="1" ht="30">
      <c r="A50" s="353"/>
      <c r="B50" s="201" t="s">
        <v>166</v>
      </c>
      <c r="C50" s="194" t="s">
        <v>175</v>
      </c>
      <c r="D50" s="193" t="s">
        <v>182</v>
      </c>
      <c r="E50" s="195"/>
      <c r="F50" s="116">
        <f t="shared" si="6"/>
        <v>8910</v>
      </c>
      <c r="G50" s="115">
        <v>0.65</v>
      </c>
      <c r="H50" s="195">
        <v>4922.7700000000004</v>
      </c>
      <c r="I50" s="117">
        <v>0</v>
      </c>
      <c r="J50" s="195">
        <v>868.73</v>
      </c>
      <c r="K50" s="117">
        <v>0</v>
      </c>
      <c r="L50" s="195">
        <v>0</v>
      </c>
      <c r="M50" s="195">
        <v>3118.5</v>
      </c>
      <c r="N50" s="184" t="s">
        <v>161</v>
      </c>
      <c r="O50" s="113"/>
      <c r="P50" s="185" t="s">
        <v>160</v>
      </c>
      <c r="Q50" s="185"/>
      <c r="R50" s="188" t="s">
        <v>221</v>
      </c>
      <c r="S50" s="185" t="s">
        <v>549</v>
      </c>
      <c r="T50" s="185"/>
      <c r="U50" s="185"/>
      <c r="V50" s="200"/>
      <c r="W50" s="15"/>
    </row>
    <row r="51" spans="1:23" s="14" customFormat="1" ht="30">
      <c r="A51" s="353"/>
      <c r="B51" s="201" t="s">
        <v>167</v>
      </c>
      <c r="C51" s="194" t="s">
        <v>176</v>
      </c>
      <c r="D51" s="193" t="s">
        <v>183</v>
      </c>
      <c r="E51" s="195"/>
      <c r="F51" s="116">
        <f t="shared" si="6"/>
        <v>30200</v>
      </c>
      <c r="G51" s="115">
        <v>0.65</v>
      </c>
      <c r="H51" s="195">
        <v>16685.5</v>
      </c>
      <c r="I51" s="117">
        <v>0</v>
      </c>
      <c r="J51" s="195">
        <v>2944.5</v>
      </c>
      <c r="K51" s="117">
        <v>0</v>
      </c>
      <c r="L51" s="195">
        <v>0</v>
      </c>
      <c r="M51" s="195">
        <v>10570</v>
      </c>
      <c r="N51" s="184" t="s">
        <v>161</v>
      </c>
      <c r="O51" s="113"/>
      <c r="P51" s="185" t="s">
        <v>160</v>
      </c>
      <c r="Q51" s="185"/>
      <c r="R51" s="188" t="s">
        <v>221</v>
      </c>
      <c r="S51" s="185" t="s">
        <v>343</v>
      </c>
      <c r="T51" s="185"/>
      <c r="U51" s="185"/>
      <c r="V51" s="200"/>
      <c r="W51" s="15"/>
    </row>
    <row r="52" spans="1:23" s="14" customFormat="1" ht="30">
      <c r="A52" s="353"/>
      <c r="B52" s="201" t="s">
        <v>168</v>
      </c>
      <c r="C52" s="194" t="s">
        <v>177</v>
      </c>
      <c r="D52" s="193" t="s">
        <v>184</v>
      </c>
      <c r="E52" s="195"/>
      <c r="F52" s="116">
        <f t="shared" si="6"/>
        <v>35942.5</v>
      </c>
      <c r="G52" s="115">
        <v>0.5</v>
      </c>
      <c r="H52" s="195">
        <v>15275.56</v>
      </c>
      <c r="I52" s="117">
        <v>0</v>
      </c>
      <c r="J52" s="195">
        <v>2695.69</v>
      </c>
      <c r="K52" s="117">
        <v>0</v>
      </c>
      <c r="L52" s="195">
        <v>0</v>
      </c>
      <c r="M52" s="195">
        <v>17971.25</v>
      </c>
      <c r="N52" s="184" t="s">
        <v>161</v>
      </c>
      <c r="O52" s="113"/>
      <c r="P52" s="185" t="s">
        <v>160</v>
      </c>
      <c r="Q52" s="185"/>
      <c r="R52" s="188" t="s">
        <v>221</v>
      </c>
      <c r="S52" s="185" t="s">
        <v>548</v>
      </c>
      <c r="T52" s="185"/>
      <c r="U52" s="185"/>
      <c r="V52" s="200"/>
      <c r="W52" s="15"/>
    </row>
    <row r="53" spans="1:23" s="14" customFormat="1" ht="30">
      <c r="A53" s="353"/>
      <c r="B53" s="201" t="s">
        <v>189</v>
      </c>
      <c r="C53" s="202" t="s">
        <v>194</v>
      </c>
      <c r="D53" s="203" t="s">
        <v>199</v>
      </c>
      <c r="E53" s="204"/>
      <c r="F53" s="116">
        <f t="shared" si="6"/>
        <v>14652</v>
      </c>
      <c r="G53" s="115">
        <v>0.64999999999999991</v>
      </c>
      <c r="H53" s="117">
        <v>8095.23</v>
      </c>
      <c r="I53" s="117">
        <v>0</v>
      </c>
      <c r="J53" s="117">
        <v>1428.57</v>
      </c>
      <c r="K53" s="117">
        <v>0</v>
      </c>
      <c r="L53" s="117">
        <v>0</v>
      </c>
      <c r="M53" s="21">
        <v>5128.2</v>
      </c>
      <c r="N53" s="184" t="s">
        <v>126</v>
      </c>
      <c r="O53" s="113" t="s">
        <v>127</v>
      </c>
      <c r="P53" s="185" t="s">
        <v>160</v>
      </c>
      <c r="Q53" s="185"/>
      <c r="R53" s="188" t="s">
        <v>221</v>
      </c>
      <c r="S53" s="185" t="s">
        <v>547</v>
      </c>
      <c r="T53" s="185"/>
      <c r="U53" s="185"/>
      <c r="V53" s="200"/>
      <c r="W53" s="15"/>
    </row>
    <row r="54" spans="1:23" s="14" customFormat="1" ht="30">
      <c r="A54" s="353"/>
      <c r="B54" s="201" t="s">
        <v>190</v>
      </c>
      <c r="C54" s="202" t="s">
        <v>195</v>
      </c>
      <c r="D54" s="203" t="s">
        <v>199</v>
      </c>
      <c r="E54" s="204"/>
      <c r="F54" s="116">
        <f t="shared" si="6"/>
        <v>89138.4</v>
      </c>
      <c r="G54" s="115">
        <v>0.52566234080934826</v>
      </c>
      <c r="H54" s="117">
        <v>39828.19</v>
      </c>
      <c r="I54" s="117">
        <v>0</v>
      </c>
      <c r="J54" s="117">
        <v>7028.51</v>
      </c>
      <c r="K54" s="117">
        <v>0</v>
      </c>
      <c r="L54" s="117">
        <v>0</v>
      </c>
      <c r="M54" s="21">
        <v>42281.7</v>
      </c>
      <c r="N54" s="184" t="s">
        <v>126</v>
      </c>
      <c r="O54" s="113" t="s">
        <v>127</v>
      </c>
      <c r="P54" s="185" t="s">
        <v>160</v>
      </c>
      <c r="Q54" s="185"/>
      <c r="R54" s="188" t="s">
        <v>221</v>
      </c>
      <c r="S54" s="185" t="s">
        <v>546</v>
      </c>
      <c r="T54" s="185"/>
      <c r="U54" s="185"/>
      <c r="V54" s="200"/>
      <c r="W54" s="15"/>
    </row>
    <row r="55" spans="1:23" s="14" customFormat="1" ht="30">
      <c r="A55" s="353"/>
      <c r="B55" s="18" t="s">
        <v>191</v>
      </c>
      <c r="C55" s="194" t="s">
        <v>196</v>
      </c>
      <c r="D55" s="193" t="s">
        <v>200</v>
      </c>
      <c r="E55" s="195"/>
      <c r="F55" s="116">
        <f t="shared" si="6"/>
        <v>45407.7</v>
      </c>
      <c r="G55" s="115">
        <v>0.750000110113483</v>
      </c>
      <c r="H55" s="117">
        <v>28947.41</v>
      </c>
      <c r="I55" s="117">
        <v>0</v>
      </c>
      <c r="J55" s="117">
        <v>5108.37</v>
      </c>
      <c r="K55" s="117">
        <v>0</v>
      </c>
      <c r="L55" s="117">
        <v>0</v>
      </c>
      <c r="M55" s="21">
        <v>11351.92</v>
      </c>
      <c r="N55" s="184" t="s">
        <v>126</v>
      </c>
      <c r="O55" s="113" t="s">
        <v>127</v>
      </c>
      <c r="P55" s="185" t="s">
        <v>160</v>
      </c>
      <c r="Q55" s="185"/>
      <c r="R55" s="188" t="s">
        <v>221</v>
      </c>
      <c r="S55" s="185" t="s">
        <v>551</v>
      </c>
      <c r="T55" s="185"/>
      <c r="U55" s="185"/>
      <c r="V55" s="200"/>
      <c r="W55" s="15"/>
    </row>
    <row r="56" spans="1:23" s="14" customFormat="1" ht="30">
      <c r="A56" s="353"/>
      <c r="B56" s="18" t="s">
        <v>192</v>
      </c>
      <c r="C56" s="202" t="s">
        <v>197</v>
      </c>
      <c r="D56" s="203" t="s">
        <v>201</v>
      </c>
      <c r="E56" s="204"/>
      <c r="F56" s="116">
        <f t="shared" si="6"/>
        <v>42409.45</v>
      </c>
      <c r="G56" s="115">
        <v>0.73189418867728773</v>
      </c>
      <c r="H56" s="117">
        <v>26383.34</v>
      </c>
      <c r="I56" s="117">
        <v>0</v>
      </c>
      <c r="J56" s="117">
        <v>4655.8900000000003</v>
      </c>
      <c r="K56" s="117">
        <v>0</v>
      </c>
      <c r="L56" s="117">
        <v>0</v>
      </c>
      <c r="M56" s="21">
        <v>11370.22</v>
      </c>
      <c r="N56" s="184" t="s">
        <v>156</v>
      </c>
      <c r="O56" s="113" t="s">
        <v>130</v>
      </c>
      <c r="P56" s="185" t="s">
        <v>160</v>
      </c>
      <c r="Q56" s="185"/>
      <c r="R56" s="188" t="s">
        <v>221</v>
      </c>
      <c r="S56" s="185" t="s">
        <v>552</v>
      </c>
      <c r="T56" s="185"/>
      <c r="U56" s="185"/>
      <c r="V56" s="200"/>
      <c r="W56" s="15"/>
    </row>
    <row r="57" spans="1:23" s="14" customFormat="1" ht="30">
      <c r="A57" s="353"/>
      <c r="B57" s="35" t="s">
        <v>193</v>
      </c>
      <c r="C57" s="205" t="s">
        <v>198</v>
      </c>
      <c r="D57" s="206" t="s">
        <v>202</v>
      </c>
      <c r="E57" s="207"/>
      <c r="F57" s="208">
        <f t="shared" si="6"/>
        <v>18820.8</v>
      </c>
      <c r="G57" s="115">
        <v>0.5</v>
      </c>
      <c r="H57" s="117">
        <v>7998.84</v>
      </c>
      <c r="I57" s="117">
        <v>0</v>
      </c>
      <c r="J57" s="117">
        <v>1411.56</v>
      </c>
      <c r="K57" s="117">
        <v>0</v>
      </c>
      <c r="L57" s="117">
        <v>0</v>
      </c>
      <c r="M57" s="21">
        <v>9410.4</v>
      </c>
      <c r="N57" s="184" t="s">
        <v>156</v>
      </c>
      <c r="O57" s="113" t="s">
        <v>130</v>
      </c>
      <c r="P57" s="185" t="s">
        <v>160</v>
      </c>
      <c r="Q57" s="185"/>
      <c r="R57" s="188" t="s">
        <v>221</v>
      </c>
      <c r="S57" s="185" t="s">
        <v>342</v>
      </c>
      <c r="T57" s="185"/>
      <c r="U57" s="185"/>
      <c r="V57" s="200"/>
      <c r="W57" s="15"/>
    </row>
    <row r="58" spans="1:23" s="14" customFormat="1" ht="30">
      <c r="A58" s="353"/>
      <c r="B58" s="209" t="s">
        <v>210</v>
      </c>
      <c r="C58" s="194" t="s">
        <v>208</v>
      </c>
      <c r="D58" s="210" t="s">
        <v>206</v>
      </c>
      <c r="E58" s="207"/>
      <c r="F58" s="208">
        <f t="shared" si="6"/>
        <v>79596.299999999988</v>
      </c>
      <c r="G58" s="115">
        <v>0.5</v>
      </c>
      <c r="H58" s="117">
        <v>33828.42</v>
      </c>
      <c r="I58" s="117">
        <v>0</v>
      </c>
      <c r="J58" s="117">
        <v>5969.73</v>
      </c>
      <c r="K58" s="117">
        <v>0</v>
      </c>
      <c r="L58" s="117">
        <v>0</v>
      </c>
      <c r="M58" s="21">
        <v>39798.15</v>
      </c>
      <c r="N58" s="184" t="s">
        <v>204</v>
      </c>
      <c r="O58" s="113"/>
      <c r="P58" s="185" t="s">
        <v>205</v>
      </c>
      <c r="Q58" s="185"/>
      <c r="R58" s="188" t="s">
        <v>222</v>
      </c>
      <c r="S58" s="185" t="s">
        <v>553</v>
      </c>
      <c r="T58" s="185"/>
      <c r="U58" s="185"/>
      <c r="V58" s="200"/>
      <c r="W58" s="15"/>
    </row>
    <row r="59" spans="1:23" s="14" customFormat="1" ht="30">
      <c r="A59" s="353"/>
      <c r="B59" s="209" t="s">
        <v>211</v>
      </c>
      <c r="C59" s="194" t="s">
        <v>209</v>
      </c>
      <c r="D59" s="210" t="s">
        <v>207</v>
      </c>
      <c r="E59" s="207"/>
      <c r="F59" s="208">
        <f t="shared" si="6"/>
        <v>15513.75</v>
      </c>
      <c r="G59" s="115">
        <v>0.65</v>
      </c>
      <c r="H59" s="117">
        <v>8571.34</v>
      </c>
      <c r="I59" s="117">
        <v>0</v>
      </c>
      <c r="J59" s="117">
        <v>1512.6</v>
      </c>
      <c r="K59" s="117">
        <v>0</v>
      </c>
      <c r="L59" s="117">
        <v>0</v>
      </c>
      <c r="M59" s="21">
        <v>5429.81</v>
      </c>
      <c r="N59" s="184" t="s">
        <v>204</v>
      </c>
      <c r="O59" s="113"/>
      <c r="P59" s="185" t="s">
        <v>205</v>
      </c>
      <c r="Q59" s="185"/>
      <c r="R59" s="188" t="s">
        <v>223</v>
      </c>
      <c r="S59" s="185" t="s">
        <v>554</v>
      </c>
      <c r="T59" s="185"/>
      <c r="U59" s="185"/>
      <c r="V59" s="200"/>
      <c r="W59" s="15"/>
    </row>
    <row r="60" spans="1:23" s="14" customFormat="1" ht="30">
      <c r="A60" s="353"/>
      <c r="B60" s="209" t="s">
        <v>214</v>
      </c>
      <c r="C60" s="194" t="s">
        <v>212</v>
      </c>
      <c r="D60" s="210" t="s">
        <v>213</v>
      </c>
      <c r="E60" s="207"/>
      <c r="F60" s="208">
        <f t="shared" si="6"/>
        <v>40451.65</v>
      </c>
      <c r="G60" s="115">
        <v>0.5</v>
      </c>
      <c r="H60" s="117">
        <v>17191.95</v>
      </c>
      <c r="I60" s="117">
        <v>0</v>
      </c>
      <c r="J60" s="117">
        <v>3033.88</v>
      </c>
      <c r="K60" s="117">
        <v>0</v>
      </c>
      <c r="L60" s="117">
        <v>0</v>
      </c>
      <c r="M60" s="21">
        <v>20225.82</v>
      </c>
      <c r="N60" s="184" t="s">
        <v>204</v>
      </c>
      <c r="O60" s="113"/>
      <c r="P60" s="185" t="s">
        <v>205</v>
      </c>
      <c r="Q60" s="185"/>
      <c r="R60" s="188" t="s">
        <v>224</v>
      </c>
      <c r="S60" s="185" t="s">
        <v>555</v>
      </c>
      <c r="T60" s="185"/>
      <c r="U60" s="185"/>
      <c r="V60" s="200"/>
      <c r="W60" s="15"/>
    </row>
    <row r="61" spans="1:23" s="14" customFormat="1" ht="30">
      <c r="A61" s="353"/>
      <c r="B61" s="209" t="s">
        <v>219</v>
      </c>
      <c r="C61" s="194" t="s">
        <v>215</v>
      </c>
      <c r="D61" s="210" t="s">
        <v>216</v>
      </c>
      <c r="E61" s="207"/>
      <c r="F61" s="208">
        <f t="shared" si="6"/>
        <v>6501</v>
      </c>
      <c r="G61" s="115">
        <v>0.65</v>
      </c>
      <c r="H61" s="117">
        <v>3591.8</v>
      </c>
      <c r="I61" s="117">
        <v>0</v>
      </c>
      <c r="J61" s="117">
        <v>633.85</v>
      </c>
      <c r="K61" s="117">
        <v>0</v>
      </c>
      <c r="L61" s="117">
        <v>0</v>
      </c>
      <c r="M61" s="21">
        <v>2275.35</v>
      </c>
      <c r="N61" s="184" t="s">
        <v>204</v>
      </c>
      <c r="O61" s="113"/>
      <c r="P61" s="185" t="s">
        <v>205</v>
      </c>
      <c r="Q61" s="185"/>
      <c r="R61" s="188" t="s">
        <v>225</v>
      </c>
      <c r="S61" s="185" t="s">
        <v>556</v>
      </c>
      <c r="T61" s="185"/>
      <c r="U61" s="185"/>
      <c r="V61" s="200"/>
      <c r="W61" s="15"/>
    </row>
    <row r="62" spans="1:23" s="14" customFormat="1" ht="30">
      <c r="A62" s="353"/>
      <c r="B62" s="209" t="s">
        <v>220</v>
      </c>
      <c r="C62" s="194" t="s">
        <v>217</v>
      </c>
      <c r="D62" s="203" t="s">
        <v>218</v>
      </c>
      <c r="E62" s="211"/>
      <c r="F62" s="116">
        <f t="shared" si="6"/>
        <v>41562.6</v>
      </c>
      <c r="G62" s="115">
        <v>0.5</v>
      </c>
      <c r="H62" s="117">
        <v>17664.099999999999</v>
      </c>
      <c r="I62" s="117">
        <v>0</v>
      </c>
      <c r="J62" s="117">
        <v>3117.2</v>
      </c>
      <c r="K62" s="117">
        <v>0</v>
      </c>
      <c r="L62" s="117">
        <v>0</v>
      </c>
      <c r="M62" s="21">
        <v>20781.3</v>
      </c>
      <c r="N62" s="184" t="s">
        <v>204</v>
      </c>
      <c r="O62" s="113"/>
      <c r="P62" s="185" t="s">
        <v>205</v>
      </c>
      <c r="Q62" s="185"/>
      <c r="R62" s="188" t="s">
        <v>226</v>
      </c>
      <c r="S62" s="185" t="s">
        <v>557</v>
      </c>
      <c r="T62" s="185"/>
      <c r="U62" s="185"/>
      <c r="V62" s="200"/>
      <c r="W62" s="15"/>
    </row>
    <row r="63" spans="1:23" s="14" customFormat="1" ht="45">
      <c r="A63" s="353"/>
      <c r="B63" s="36" t="s">
        <v>109</v>
      </c>
      <c r="C63" s="37" t="s">
        <v>110</v>
      </c>
      <c r="D63" s="38" t="s">
        <v>111</v>
      </c>
      <c r="E63" s="189"/>
      <c r="F63" s="116">
        <f t="shared" si="6"/>
        <v>115948.59999999999</v>
      </c>
      <c r="G63" s="115">
        <v>0.67</v>
      </c>
      <c r="H63" s="117">
        <v>65640.649999999994</v>
      </c>
      <c r="I63" s="117">
        <v>0</v>
      </c>
      <c r="J63" s="117">
        <v>11583.65</v>
      </c>
      <c r="K63" s="117">
        <v>0</v>
      </c>
      <c r="L63" s="117">
        <v>0</v>
      </c>
      <c r="M63" s="25">
        <v>38724.300000000003</v>
      </c>
      <c r="N63" s="212" t="s">
        <v>94</v>
      </c>
      <c r="O63" s="113" t="s">
        <v>96</v>
      </c>
      <c r="P63" s="185"/>
      <c r="Q63" s="185"/>
      <c r="R63" s="188" t="s">
        <v>95</v>
      </c>
      <c r="S63" s="185" t="s">
        <v>158</v>
      </c>
      <c r="T63" s="185"/>
      <c r="U63" s="185"/>
      <c r="V63" s="200"/>
      <c r="W63" s="15"/>
    </row>
    <row r="64" spans="1:23" s="14" customFormat="1" ht="30" customHeight="1">
      <c r="A64" s="354" t="s">
        <v>11</v>
      </c>
      <c r="B64" s="194" t="s">
        <v>229</v>
      </c>
      <c r="C64" s="199" t="s">
        <v>230</v>
      </c>
      <c r="D64" s="193" t="s">
        <v>231</v>
      </c>
      <c r="E64" s="213"/>
      <c r="F64" s="195">
        <f>SUM(H64:M64)</f>
        <v>127889.95000000001</v>
      </c>
      <c r="G64" s="214">
        <f t="shared" ref="G64" si="7">(H64+I64+J64+K64)/F64</f>
        <v>0.50000003909611346</v>
      </c>
      <c r="H64" s="195">
        <v>54353.23</v>
      </c>
      <c r="I64" s="195">
        <v>0</v>
      </c>
      <c r="J64" s="195">
        <v>9591.75</v>
      </c>
      <c r="K64" s="195">
        <v>0</v>
      </c>
      <c r="L64" s="195">
        <v>0</v>
      </c>
      <c r="M64" s="195">
        <v>63944.97</v>
      </c>
      <c r="N64" s="113"/>
      <c r="O64" s="113" t="s">
        <v>227</v>
      </c>
      <c r="P64" s="188" t="s">
        <v>228</v>
      </c>
      <c r="Q64" s="188"/>
      <c r="R64" s="188" t="s">
        <v>298</v>
      </c>
      <c r="S64" s="188" t="s">
        <v>521</v>
      </c>
      <c r="T64" s="188"/>
      <c r="U64" s="188"/>
      <c r="V64" s="215"/>
      <c r="W64" s="15"/>
    </row>
    <row r="65" spans="1:23" s="14" customFormat="1" ht="30">
      <c r="A65" s="353"/>
      <c r="B65" s="216" t="s">
        <v>232</v>
      </c>
      <c r="C65" s="194" t="s">
        <v>233</v>
      </c>
      <c r="D65" s="194" t="s">
        <v>234</v>
      </c>
      <c r="E65" s="195"/>
      <c r="F65" s="195">
        <f>SUM(H65:M65)</f>
        <v>74891.100000000006</v>
      </c>
      <c r="G65" s="214">
        <f>(H65+I65+J65+K65)/F65</f>
        <v>0.5</v>
      </c>
      <c r="H65" s="217">
        <v>31828.71</v>
      </c>
      <c r="I65" s="195">
        <v>0</v>
      </c>
      <c r="J65" s="217">
        <v>5616.84</v>
      </c>
      <c r="K65" s="195">
        <v>0</v>
      </c>
      <c r="L65" s="195">
        <v>0</v>
      </c>
      <c r="M65" s="195">
        <v>37445.550000000003</v>
      </c>
      <c r="N65" s="113"/>
      <c r="O65" s="113" t="s">
        <v>227</v>
      </c>
      <c r="P65" s="188" t="s">
        <v>228</v>
      </c>
      <c r="Q65" s="188"/>
      <c r="R65" s="188" t="s">
        <v>295</v>
      </c>
      <c r="S65" s="188" t="s">
        <v>558</v>
      </c>
      <c r="T65" s="188"/>
      <c r="U65" s="188"/>
      <c r="V65" s="215"/>
      <c r="W65" s="15"/>
    </row>
    <row r="66" spans="1:23" s="14" customFormat="1" ht="30">
      <c r="A66" s="353"/>
      <c r="B66" s="216" t="s">
        <v>235</v>
      </c>
      <c r="C66" s="194" t="s">
        <v>236</v>
      </c>
      <c r="D66" s="194" t="s">
        <v>237</v>
      </c>
      <c r="E66" s="195"/>
      <c r="F66" s="195">
        <f t="shared" ref="F66:F70" si="8">SUM(H66:M66)</f>
        <v>86293.39</v>
      </c>
      <c r="G66" s="214">
        <f t="shared" ref="G66:G93" si="9">(H66+I66+J66+K66)/F66</f>
        <v>0.74999997102906724</v>
      </c>
      <c r="H66" s="217">
        <v>55012.03</v>
      </c>
      <c r="I66" s="195">
        <v>0</v>
      </c>
      <c r="J66" s="217">
        <v>9708.01</v>
      </c>
      <c r="K66" s="195">
        <v>0</v>
      </c>
      <c r="L66" s="195">
        <v>0</v>
      </c>
      <c r="M66" s="195">
        <v>21573.35</v>
      </c>
      <c r="N66" s="113"/>
      <c r="O66" s="113" t="s">
        <v>227</v>
      </c>
      <c r="P66" s="188" t="s">
        <v>228</v>
      </c>
      <c r="Q66" s="188"/>
      <c r="R66" s="188" t="s">
        <v>295</v>
      </c>
      <c r="S66" s="188" t="s">
        <v>559</v>
      </c>
      <c r="T66" s="188"/>
      <c r="U66" s="188"/>
      <c r="V66" s="215"/>
      <c r="W66" s="15"/>
    </row>
    <row r="67" spans="1:23" s="14" customFormat="1" ht="23.25" customHeight="1">
      <c r="A67" s="353"/>
      <c r="B67" s="216" t="s">
        <v>238</v>
      </c>
      <c r="C67" s="194" t="s">
        <v>239</v>
      </c>
      <c r="D67" s="194" t="s">
        <v>240</v>
      </c>
      <c r="E67" s="195"/>
      <c r="F67" s="195">
        <f t="shared" si="8"/>
        <v>3300</v>
      </c>
      <c r="G67" s="214">
        <f t="shared" si="9"/>
        <v>0.65</v>
      </c>
      <c r="H67" s="217">
        <v>1823.25</v>
      </c>
      <c r="I67" s="195">
        <v>0</v>
      </c>
      <c r="J67" s="217">
        <v>321.75</v>
      </c>
      <c r="K67" s="195">
        <v>0</v>
      </c>
      <c r="L67" s="195">
        <v>0</v>
      </c>
      <c r="M67" s="195">
        <v>1155</v>
      </c>
      <c r="N67" s="113"/>
      <c r="O67" s="113" t="s">
        <v>227</v>
      </c>
      <c r="P67" s="188" t="s">
        <v>228</v>
      </c>
      <c r="Q67" s="188"/>
      <c r="R67" s="188" t="s">
        <v>295</v>
      </c>
      <c r="S67" s="188" t="s">
        <v>560</v>
      </c>
      <c r="T67" s="188"/>
      <c r="U67" s="188"/>
      <c r="V67" s="215"/>
      <c r="W67" s="15"/>
    </row>
    <row r="68" spans="1:23" s="14" customFormat="1" ht="30">
      <c r="A68" s="353"/>
      <c r="B68" s="216" t="s">
        <v>241</v>
      </c>
      <c r="C68" s="194" t="s">
        <v>242</v>
      </c>
      <c r="D68" s="194" t="s">
        <v>243</v>
      </c>
      <c r="E68" s="195"/>
      <c r="F68" s="195">
        <f t="shared" si="8"/>
        <v>55256</v>
      </c>
      <c r="G68" s="214">
        <f t="shared" si="9"/>
        <v>0.6975242507600985</v>
      </c>
      <c r="H68" s="217">
        <v>32761.040000000001</v>
      </c>
      <c r="I68" s="195">
        <v>0</v>
      </c>
      <c r="J68" s="217">
        <v>5781.36</v>
      </c>
      <c r="K68" s="195">
        <v>0</v>
      </c>
      <c r="L68" s="195">
        <v>0</v>
      </c>
      <c r="M68" s="195">
        <v>16713.599999999999</v>
      </c>
      <c r="N68" s="113"/>
      <c r="O68" s="113" t="s">
        <v>227</v>
      </c>
      <c r="P68" s="188" t="s">
        <v>228</v>
      </c>
      <c r="Q68" s="188"/>
      <c r="R68" s="188" t="s">
        <v>295</v>
      </c>
      <c r="S68" s="188" t="s">
        <v>561</v>
      </c>
      <c r="T68" s="188"/>
      <c r="U68" s="188"/>
      <c r="V68" s="215"/>
      <c r="W68" s="15"/>
    </row>
    <row r="69" spans="1:23" s="14" customFormat="1" ht="30">
      <c r="A69" s="353"/>
      <c r="B69" s="216" t="s">
        <v>244</v>
      </c>
      <c r="C69" s="194" t="s">
        <v>245</v>
      </c>
      <c r="D69" s="194" t="s">
        <v>246</v>
      </c>
      <c r="E69" s="195"/>
      <c r="F69" s="195">
        <f t="shared" si="8"/>
        <v>8076.9500000000007</v>
      </c>
      <c r="G69" s="214">
        <f t="shared" si="9"/>
        <v>0.55379567782393102</v>
      </c>
      <c r="H69" s="217">
        <v>3802.03</v>
      </c>
      <c r="I69" s="195">
        <v>0</v>
      </c>
      <c r="J69" s="217">
        <v>670.95</v>
      </c>
      <c r="K69" s="195">
        <v>0</v>
      </c>
      <c r="L69" s="195">
        <v>0</v>
      </c>
      <c r="M69" s="195">
        <v>3603.97</v>
      </c>
      <c r="N69" s="113"/>
      <c r="O69" s="113" t="s">
        <v>227</v>
      </c>
      <c r="P69" s="188" t="s">
        <v>228</v>
      </c>
      <c r="Q69" s="188"/>
      <c r="R69" s="188" t="s">
        <v>295</v>
      </c>
      <c r="S69" s="188" t="s">
        <v>562</v>
      </c>
      <c r="T69" s="188"/>
      <c r="U69" s="188"/>
      <c r="V69" s="215"/>
      <c r="W69" s="15"/>
    </row>
    <row r="70" spans="1:23" s="14" customFormat="1" ht="30">
      <c r="A70" s="353"/>
      <c r="B70" s="216" t="s">
        <v>247</v>
      </c>
      <c r="C70" s="194" t="s">
        <v>248</v>
      </c>
      <c r="D70" s="194" t="s">
        <v>249</v>
      </c>
      <c r="E70" s="195"/>
      <c r="F70" s="195">
        <f t="shared" si="8"/>
        <v>73365.25</v>
      </c>
      <c r="G70" s="214">
        <f t="shared" si="9"/>
        <v>0.50000006815215647</v>
      </c>
      <c r="H70" s="217">
        <v>31180.23</v>
      </c>
      <c r="I70" s="195">
        <v>0</v>
      </c>
      <c r="J70" s="217">
        <v>5502.4</v>
      </c>
      <c r="K70" s="195">
        <v>0</v>
      </c>
      <c r="L70" s="195">
        <v>0</v>
      </c>
      <c r="M70" s="195">
        <v>36682.620000000003</v>
      </c>
      <c r="N70" s="113"/>
      <c r="O70" s="113" t="s">
        <v>227</v>
      </c>
      <c r="P70" s="188" t="s">
        <v>228</v>
      </c>
      <c r="Q70" s="188"/>
      <c r="R70" s="188" t="s">
        <v>295</v>
      </c>
      <c r="S70" s="188" t="s">
        <v>563</v>
      </c>
      <c r="T70" s="188"/>
      <c r="U70" s="188"/>
      <c r="V70" s="215"/>
      <c r="W70" s="15"/>
    </row>
    <row r="71" spans="1:23" s="14" customFormat="1" ht="30">
      <c r="A71" s="353"/>
      <c r="B71" s="216" t="s">
        <v>252</v>
      </c>
      <c r="C71" s="194" t="s">
        <v>253</v>
      </c>
      <c r="D71" s="194" t="s">
        <v>254</v>
      </c>
      <c r="E71" s="195"/>
      <c r="F71" s="195">
        <f t="shared" ref="F71:F78" si="10">SUM(H71:M71)</f>
        <v>29466</v>
      </c>
      <c r="G71" s="214">
        <f t="shared" si="9"/>
        <v>0.85</v>
      </c>
      <c r="H71" s="217">
        <v>21289.18</v>
      </c>
      <c r="I71" s="195">
        <v>0</v>
      </c>
      <c r="J71" s="217">
        <v>3756.92</v>
      </c>
      <c r="K71" s="195">
        <v>0</v>
      </c>
      <c r="L71" s="195">
        <v>0</v>
      </c>
      <c r="M71" s="195">
        <v>4419.8999999999996</v>
      </c>
      <c r="N71" s="39"/>
      <c r="O71" s="194" t="s">
        <v>250</v>
      </c>
      <c r="P71" s="194" t="s">
        <v>251</v>
      </c>
      <c r="Q71" s="194"/>
      <c r="R71" s="194" t="s">
        <v>297</v>
      </c>
      <c r="S71" s="188" t="s">
        <v>347</v>
      </c>
      <c r="T71" s="188"/>
      <c r="U71" s="188"/>
      <c r="V71" s="215"/>
      <c r="W71" s="15"/>
    </row>
    <row r="72" spans="1:23" s="14" customFormat="1" ht="30">
      <c r="A72" s="353"/>
      <c r="B72" s="216" t="s">
        <v>255</v>
      </c>
      <c r="C72" s="194" t="s">
        <v>256</v>
      </c>
      <c r="D72" s="194" t="s">
        <v>257</v>
      </c>
      <c r="E72" s="195"/>
      <c r="F72" s="195">
        <f t="shared" si="10"/>
        <v>66853.049999999988</v>
      </c>
      <c r="G72" s="214">
        <f t="shared" si="9"/>
        <v>0.50000007479090336</v>
      </c>
      <c r="H72" s="217">
        <v>28412.55</v>
      </c>
      <c r="I72" s="195">
        <v>0</v>
      </c>
      <c r="J72" s="217">
        <v>5013.9799999999996</v>
      </c>
      <c r="K72" s="195">
        <v>0</v>
      </c>
      <c r="L72" s="195">
        <v>0</v>
      </c>
      <c r="M72" s="195">
        <v>33426.519999999997</v>
      </c>
      <c r="N72" s="39"/>
      <c r="O72" s="194" t="s">
        <v>250</v>
      </c>
      <c r="P72" s="194" t="s">
        <v>251</v>
      </c>
      <c r="Q72" s="194"/>
      <c r="R72" s="194" t="s">
        <v>297</v>
      </c>
      <c r="S72" s="188" t="s">
        <v>501</v>
      </c>
      <c r="T72" s="188"/>
      <c r="U72" s="188"/>
      <c r="V72" s="215"/>
      <c r="W72" s="15"/>
    </row>
    <row r="73" spans="1:23" s="14" customFormat="1" ht="30">
      <c r="A73" s="353"/>
      <c r="B73" s="216" t="s">
        <v>258</v>
      </c>
      <c r="C73" s="194" t="s">
        <v>259</v>
      </c>
      <c r="D73" s="194" t="s">
        <v>260</v>
      </c>
      <c r="E73" s="195"/>
      <c r="F73" s="195">
        <f t="shared" si="10"/>
        <v>6600</v>
      </c>
      <c r="G73" s="214">
        <f t="shared" si="9"/>
        <v>0.65</v>
      </c>
      <c r="H73" s="217">
        <v>3646.5</v>
      </c>
      <c r="I73" s="195">
        <v>0</v>
      </c>
      <c r="J73" s="217">
        <v>643.5</v>
      </c>
      <c r="K73" s="195">
        <v>0</v>
      </c>
      <c r="L73" s="195">
        <v>0</v>
      </c>
      <c r="M73" s="195">
        <v>2310</v>
      </c>
      <c r="N73" s="39"/>
      <c r="O73" s="194" t="s">
        <v>250</v>
      </c>
      <c r="P73" s="194" t="s">
        <v>251</v>
      </c>
      <c r="Q73" s="194"/>
      <c r="R73" s="194" t="s">
        <v>297</v>
      </c>
      <c r="S73" s="188" t="s">
        <v>345</v>
      </c>
      <c r="T73" s="188"/>
      <c r="U73" s="188"/>
      <c r="V73" s="215"/>
      <c r="W73" s="15"/>
    </row>
    <row r="74" spans="1:23" s="14" customFormat="1" ht="45">
      <c r="A74" s="353"/>
      <c r="B74" s="216" t="s">
        <v>261</v>
      </c>
      <c r="C74" s="194" t="s">
        <v>262</v>
      </c>
      <c r="D74" s="194" t="s">
        <v>263</v>
      </c>
      <c r="E74" s="195"/>
      <c r="F74" s="195">
        <f t="shared" si="10"/>
        <v>22360.799999999999</v>
      </c>
      <c r="G74" s="214">
        <f t="shared" si="9"/>
        <v>0.75</v>
      </c>
      <c r="H74" s="217">
        <v>13851.27</v>
      </c>
      <c r="I74" s="195">
        <v>0</v>
      </c>
      <c r="J74" s="217">
        <v>2919.33</v>
      </c>
      <c r="K74" s="195">
        <v>0</v>
      </c>
      <c r="L74" s="195">
        <v>0</v>
      </c>
      <c r="M74" s="195">
        <v>5590.2</v>
      </c>
      <c r="N74" s="39"/>
      <c r="O74" s="194" t="s">
        <v>250</v>
      </c>
      <c r="P74" s="194" t="s">
        <v>251</v>
      </c>
      <c r="Q74" s="194"/>
      <c r="R74" s="194" t="s">
        <v>297</v>
      </c>
      <c r="S74" s="188" t="s">
        <v>500</v>
      </c>
      <c r="T74" s="188"/>
      <c r="U74" s="188"/>
      <c r="V74" s="215"/>
      <c r="W74" s="15"/>
    </row>
    <row r="75" spans="1:23" s="14" customFormat="1" ht="30">
      <c r="A75" s="353"/>
      <c r="B75" s="216" t="s">
        <v>264</v>
      </c>
      <c r="C75" s="194" t="s">
        <v>265</v>
      </c>
      <c r="D75" s="194" t="s">
        <v>266</v>
      </c>
      <c r="E75" s="195"/>
      <c r="F75" s="195">
        <f t="shared" si="10"/>
        <v>14686.350000000002</v>
      </c>
      <c r="G75" s="214">
        <f t="shared" si="9"/>
        <v>0.65000017022609424</v>
      </c>
      <c r="H75" s="217">
        <v>8114.21</v>
      </c>
      <c r="I75" s="195">
        <v>0</v>
      </c>
      <c r="J75" s="217">
        <v>1431.92</v>
      </c>
      <c r="K75" s="195">
        <v>0</v>
      </c>
      <c r="L75" s="195">
        <v>0</v>
      </c>
      <c r="M75" s="195">
        <v>5140.22</v>
      </c>
      <c r="N75" s="39"/>
      <c r="O75" s="194" t="s">
        <v>250</v>
      </c>
      <c r="P75" s="194" t="s">
        <v>251</v>
      </c>
      <c r="Q75" s="194"/>
      <c r="R75" s="194" t="s">
        <v>297</v>
      </c>
      <c r="S75" s="188" t="s">
        <v>621</v>
      </c>
      <c r="T75" s="188"/>
      <c r="U75" s="188"/>
      <c r="V75" s="215"/>
      <c r="W75" s="15"/>
    </row>
    <row r="76" spans="1:23" s="14" customFormat="1" ht="30">
      <c r="A76" s="353"/>
      <c r="B76" s="216" t="s">
        <v>267</v>
      </c>
      <c r="C76" s="194" t="s">
        <v>268</v>
      </c>
      <c r="D76" s="194" t="s">
        <v>269</v>
      </c>
      <c r="E76" s="195"/>
      <c r="F76" s="195">
        <f t="shared" si="10"/>
        <v>3630</v>
      </c>
      <c r="G76" s="214">
        <f t="shared" si="9"/>
        <v>0.65</v>
      </c>
      <c r="H76" s="217">
        <v>2005.57</v>
      </c>
      <c r="I76" s="195">
        <v>0</v>
      </c>
      <c r="J76" s="217">
        <v>353.93</v>
      </c>
      <c r="K76" s="195">
        <v>0</v>
      </c>
      <c r="L76" s="195">
        <v>0</v>
      </c>
      <c r="M76" s="195">
        <v>1270.5</v>
      </c>
      <c r="N76" s="39"/>
      <c r="O76" s="194" t="s">
        <v>250</v>
      </c>
      <c r="P76" s="194" t="s">
        <v>251</v>
      </c>
      <c r="Q76" s="194"/>
      <c r="R76" s="194" t="s">
        <v>297</v>
      </c>
      <c r="S76" s="188" t="s">
        <v>543</v>
      </c>
      <c r="T76" s="188"/>
      <c r="U76" s="188"/>
      <c r="V76" s="215"/>
      <c r="W76" s="15"/>
    </row>
    <row r="77" spans="1:23" s="14" customFormat="1" ht="30">
      <c r="A77" s="353"/>
      <c r="B77" s="216" t="s">
        <v>258</v>
      </c>
      <c r="C77" s="194" t="s">
        <v>270</v>
      </c>
      <c r="D77" s="194" t="s">
        <v>271</v>
      </c>
      <c r="E77" s="218"/>
      <c r="F77" s="195">
        <f t="shared" si="10"/>
        <v>115190</v>
      </c>
      <c r="G77" s="214">
        <f t="shared" si="9"/>
        <v>0.75599010330757876</v>
      </c>
      <c r="H77" s="217">
        <v>67440.67</v>
      </c>
      <c r="I77" s="195">
        <v>0</v>
      </c>
      <c r="J77" s="217">
        <v>19641.830000000002</v>
      </c>
      <c r="K77" s="195">
        <v>0</v>
      </c>
      <c r="L77" s="195">
        <v>0</v>
      </c>
      <c r="M77" s="195">
        <v>28107.5</v>
      </c>
      <c r="N77" s="39"/>
      <c r="O77" s="194" t="s">
        <v>250</v>
      </c>
      <c r="P77" s="219" t="s">
        <v>251</v>
      </c>
      <c r="Q77" s="194"/>
      <c r="R77" s="194" t="s">
        <v>297</v>
      </c>
      <c r="S77" s="188" t="s">
        <v>346</v>
      </c>
      <c r="T77" s="188"/>
      <c r="U77" s="188"/>
      <c r="V77" s="215"/>
      <c r="W77" s="15"/>
    </row>
    <row r="78" spans="1:23" s="14" customFormat="1" ht="30">
      <c r="A78" s="353"/>
      <c r="B78" s="216" t="s">
        <v>281</v>
      </c>
      <c r="C78" s="194" t="s">
        <v>282</v>
      </c>
      <c r="D78" s="194" t="s">
        <v>283</v>
      </c>
      <c r="E78" s="195">
        <v>197914</v>
      </c>
      <c r="F78" s="195">
        <f t="shared" si="10"/>
        <v>169014</v>
      </c>
      <c r="G78" s="214">
        <f t="shared" si="9"/>
        <v>0.75</v>
      </c>
      <c r="H78" s="217">
        <v>107746.42</v>
      </c>
      <c r="I78" s="195">
        <v>0</v>
      </c>
      <c r="J78" s="217">
        <v>19014.080000000002</v>
      </c>
      <c r="K78" s="195">
        <v>0</v>
      </c>
      <c r="L78" s="195">
        <v>0</v>
      </c>
      <c r="M78" s="195">
        <v>42253.5</v>
      </c>
      <c r="N78" s="39"/>
      <c r="O78" s="194" t="s">
        <v>250</v>
      </c>
      <c r="P78" s="194" t="s">
        <v>251</v>
      </c>
      <c r="Q78" s="194" t="s">
        <v>296</v>
      </c>
      <c r="R78" s="194" t="s">
        <v>297</v>
      </c>
      <c r="S78" s="188" t="s">
        <v>343</v>
      </c>
      <c r="T78" s="188"/>
      <c r="U78" s="188"/>
      <c r="V78" s="215"/>
      <c r="W78" s="15"/>
    </row>
    <row r="79" spans="1:23" s="14" customFormat="1" ht="30">
      <c r="A79" s="353"/>
      <c r="B79" s="216" t="s">
        <v>272</v>
      </c>
      <c r="C79" s="194" t="s">
        <v>273</v>
      </c>
      <c r="D79" s="194" t="s">
        <v>274</v>
      </c>
      <c r="E79" s="195">
        <v>69400</v>
      </c>
      <c r="F79" s="195">
        <f>SUM(H79:M79)</f>
        <v>69400</v>
      </c>
      <c r="G79" s="214">
        <f t="shared" si="9"/>
        <v>0.75</v>
      </c>
      <c r="H79" s="217">
        <v>39228.35</v>
      </c>
      <c r="I79" s="195">
        <v>0</v>
      </c>
      <c r="J79" s="217">
        <v>12821.65</v>
      </c>
      <c r="K79" s="195">
        <v>0</v>
      </c>
      <c r="L79" s="195">
        <v>0</v>
      </c>
      <c r="M79" s="195">
        <v>17350</v>
      </c>
      <c r="N79" s="39"/>
      <c r="O79" s="194" t="s">
        <v>250</v>
      </c>
      <c r="P79" s="194" t="s">
        <v>251</v>
      </c>
      <c r="Q79" s="194"/>
      <c r="R79" s="194" t="s">
        <v>297</v>
      </c>
      <c r="S79" s="188" t="s">
        <v>542</v>
      </c>
      <c r="T79" s="188"/>
      <c r="U79" s="188"/>
      <c r="V79" s="215"/>
      <c r="W79" s="15"/>
    </row>
    <row r="80" spans="1:23" s="14" customFormat="1" ht="30">
      <c r="A80" s="353"/>
      <c r="B80" s="216" t="s">
        <v>275</v>
      </c>
      <c r="C80" s="194" t="s">
        <v>276</v>
      </c>
      <c r="D80" s="194" t="s">
        <v>277</v>
      </c>
      <c r="E80" s="195"/>
      <c r="F80" s="195">
        <f t="shared" ref="F80:F94" si="11">SUM(H80:M80)</f>
        <v>67655.08</v>
      </c>
      <c r="G80" s="214">
        <f t="shared" si="9"/>
        <v>0.5</v>
      </c>
      <c r="H80" s="217">
        <v>28753.4</v>
      </c>
      <c r="I80" s="195">
        <v>0</v>
      </c>
      <c r="J80" s="217">
        <v>5074.1400000000003</v>
      </c>
      <c r="K80" s="195">
        <v>0</v>
      </c>
      <c r="L80" s="195">
        <v>0</v>
      </c>
      <c r="M80" s="195">
        <v>33827.54</v>
      </c>
      <c r="N80" s="39"/>
      <c r="O80" s="194" t="s">
        <v>250</v>
      </c>
      <c r="P80" s="194" t="s">
        <v>251</v>
      </c>
      <c r="Q80" s="194"/>
      <c r="R80" s="194" t="s">
        <v>297</v>
      </c>
      <c r="S80" s="188" t="s">
        <v>344</v>
      </c>
      <c r="T80" s="188"/>
      <c r="U80" s="188"/>
      <c r="V80" s="215"/>
      <c r="W80" s="15"/>
    </row>
    <row r="81" spans="1:23" s="14" customFormat="1" ht="30">
      <c r="A81" s="353"/>
      <c r="B81" s="216" t="s">
        <v>278</v>
      </c>
      <c r="C81" s="194" t="s">
        <v>279</v>
      </c>
      <c r="D81" s="194" t="s">
        <v>280</v>
      </c>
      <c r="E81" s="195">
        <v>76530</v>
      </c>
      <c r="F81" s="195">
        <f t="shared" si="11"/>
        <v>76530</v>
      </c>
      <c r="G81" s="214">
        <f t="shared" si="9"/>
        <v>0.75</v>
      </c>
      <c r="H81" s="217">
        <v>48787.87</v>
      </c>
      <c r="I81" s="195">
        <v>0</v>
      </c>
      <c r="J81" s="217">
        <v>8609.6299999999992</v>
      </c>
      <c r="K81" s="195">
        <v>0</v>
      </c>
      <c r="L81" s="195">
        <v>0</v>
      </c>
      <c r="M81" s="195">
        <v>19132.5</v>
      </c>
      <c r="N81" s="39"/>
      <c r="O81" s="194" t="s">
        <v>250</v>
      </c>
      <c r="P81" s="194" t="s">
        <v>251</v>
      </c>
      <c r="Q81" s="194"/>
      <c r="R81" s="194" t="s">
        <v>297</v>
      </c>
      <c r="S81" s="188" t="s">
        <v>436</v>
      </c>
      <c r="T81" s="188"/>
      <c r="U81" s="188"/>
      <c r="V81" s="215"/>
      <c r="W81" s="15"/>
    </row>
    <row r="82" spans="1:23" s="14" customFormat="1" ht="39.75" customHeight="1">
      <c r="A82" s="353"/>
      <c r="B82" s="216" t="s">
        <v>293</v>
      </c>
      <c r="C82" s="194" t="s">
        <v>290</v>
      </c>
      <c r="D82" s="194" t="s">
        <v>291</v>
      </c>
      <c r="E82" s="195">
        <v>40205.949999999997</v>
      </c>
      <c r="F82" s="220">
        <f t="shared" si="11"/>
        <v>30005.95</v>
      </c>
      <c r="G82" s="221">
        <f t="shared" si="9"/>
        <v>0.55888915365119252</v>
      </c>
      <c r="H82" s="222">
        <v>14254.5</v>
      </c>
      <c r="I82" s="220">
        <v>0</v>
      </c>
      <c r="J82" s="222">
        <v>2515.5</v>
      </c>
      <c r="K82" s="220">
        <v>0</v>
      </c>
      <c r="L82" s="220">
        <v>0</v>
      </c>
      <c r="M82" s="220">
        <v>13235.95</v>
      </c>
      <c r="N82" s="39"/>
      <c r="O82" s="194" t="s">
        <v>227</v>
      </c>
      <c r="P82" s="194" t="s">
        <v>292</v>
      </c>
      <c r="Q82" s="194"/>
      <c r="R82" s="194" t="s">
        <v>335</v>
      </c>
      <c r="S82" s="188" t="s">
        <v>622</v>
      </c>
      <c r="T82" s="188"/>
      <c r="U82" s="188"/>
      <c r="V82" s="215"/>
      <c r="W82" s="15"/>
    </row>
    <row r="83" spans="1:23" s="14" customFormat="1" ht="39.75" customHeight="1">
      <c r="A83" s="353"/>
      <c r="B83" s="216" t="s">
        <v>299</v>
      </c>
      <c r="C83" s="194" t="s">
        <v>300</v>
      </c>
      <c r="D83" s="194" t="s">
        <v>301</v>
      </c>
      <c r="E83" s="195">
        <v>42073.85</v>
      </c>
      <c r="F83" s="220">
        <f t="shared" si="11"/>
        <v>30076</v>
      </c>
      <c r="G83" s="196">
        <f t="shared" si="9"/>
        <v>0.71301569357627348</v>
      </c>
      <c r="H83" s="114">
        <v>18227.96</v>
      </c>
      <c r="I83" s="117">
        <v>3216.7</v>
      </c>
      <c r="J83" s="114">
        <v>0</v>
      </c>
      <c r="K83" s="117">
        <v>0</v>
      </c>
      <c r="L83" s="117">
        <v>0</v>
      </c>
      <c r="M83" s="220">
        <v>8631.34</v>
      </c>
      <c r="N83" s="39"/>
      <c r="O83" s="194" t="s">
        <v>303</v>
      </c>
      <c r="P83" s="194" t="s">
        <v>304</v>
      </c>
      <c r="Q83" s="194"/>
      <c r="R83" s="194" t="s">
        <v>351</v>
      </c>
      <c r="S83" s="188" t="s">
        <v>421</v>
      </c>
      <c r="T83" s="188"/>
      <c r="U83" s="188"/>
      <c r="V83" s="215"/>
      <c r="W83" s="15"/>
    </row>
    <row r="84" spans="1:23" s="14" customFormat="1" ht="39.75" customHeight="1">
      <c r="A84" s="353"/>
      <c r="B84" s="216" t="s">
        <v>305</v>
      </c>
      <c r="C84" s="194" t="s">
        <v>306</v>
      </c>
      <c r="D84" s="194" t="s">
        <v>307</v>
      </c>
      <c r="E84" s="195">
        <v>43449.72</v>
      </c>
      <c r="F84" s="117">
        <f t="shared" si="11"/>
        <v>43799.880000000005</v>
      </c>
      <c r="G84" s="196">
        <f t="shared" si="9"/>
        <v>0.85000004566222553</v>
      </c>
      <c r="H84" s="114">
        <v>31425.759999999998</v>
      </c>
      <c r="I84" s="117">
        <v>5545.73</v>
      </c>
      <c r="J84" s="114">
        <v>258.41000000000003</v>
      </c>
      <c r="K84" s="117">
        <v>0</v>
      </c>
      <c r="L84" s="117">
        <v>0</v>
      </c>
      <c r="M84" s="117">
        <v>6569.98</v>
      </c>
      <c r="N84" s="39"/>
      <c r="O84" s="194" t="s">
        <v>303</v>
      </c>
      <c r="P84" s="194" t="s">
        <v>304</v>
      </c>
      <c r="Q84" s="194"/>
      <c r="R84" s="194" t="s">
        <v>351</v>
      </c>
      <c r="S84" s="188" t="s">
        <v>422</v>
      </c>
      <c r="T84" s="188"/>
      <c r="U84" s="188"/>
      <c r="V84" s="215"/>
      <c r="W84" s="15"/>
    </row>
    <row r="85" spans="1:23" s="14" customFormat="1" ht="39.75" customHeight="1">
      <c r="A85" s="353"/>
      <c r="B85" s="216" t="s">
        <v>308</v>
      </c>
      <c r="C85" s="194" t="s">
        <v>309</v>
      </c>
      <c r="D85" s="194" t="s">
        <v>310</v>
      </c>
      <c r="E85" s="195">
        <v>67334.960000000006</v>
      </c>
      <c r="F85" s="195">
        <f t="shared" si="11"/>
        <v>67334.960000000006</v>
      </c>
      <c r="G85" s="214">
        <f t="shared" si="9"/>
        <v>0.75</v>
      </c>
      <c r="H85" s="217">
        <v>38087.29</v>
      </c>
      <c r="I85" s="195">
        <v>6721.29</v>
      </c>
      <c r="J85" s="217">
        <v>5692.64</v>
      </c>
      <c r="K85" s="195">
        <v>0</v>
      </c>
      <c r="L85" s="195">
        <v>0</v>
      </c>
      <c r="M85" s="195">
        <v>16833.740000000002</v>
      </c>
      <c r="N85" s="39"/>
      <c r="O85" s="194" t="s">
        <v>303</v>
      </c>
      <c r="P85" s="194" t="s">
        <v>304</v>
      </c>
      <c r="Q85" s="194"/>
      <c r="R85" s="194" t="s">
        <v>351</v>
      </c>
      <c r="S85" s="188" t="s">
        <v>423</v>
      </c>
      <c r="T85" s="188"/>
      <c r="U85" s="188"/>
      <c r="V85" s="215"/>
      <c r="W85" s="15"/>
    </row>
    <row r="86" spans="1:23" s="14" customFormat="1" ht="39.75" customHeight="1">
      <c r="A86" s="353"/>
      <c r="B86" s="216" t="s">
        <v>311</v>
      </c>
      <c r="C86" s="194" t="s">
        <v>312</v>
      </c>
      <c r="D86" s="194" t="s">
        <v>313</v>
      </c>
      <c r="E86" s="195">
        <v>33701.83</v>
      </c>
      <c r="F86" s="195">
        <f t="shared" si="11"/>
        <v>33701.83</v>
      </c>
      <c r="G86" s="214">
        <f t="shared" si="9"/>
        <v>0.85000013352390658</v>
      </c>
      <c r="H86" s="217">
        <v>23859.06</v>
      </c>
      <c r="I86" s="195">
        <v>4210.43</v>
      </c>
      <c r="J86" s="217">
        <v>577.07000000000005</v>
      </c>
      <c r="K86" s="195">
        <v>0</v>
      </c>
      <c r="L86" s="195">
        <v>0</v>
      </c>
      <c r="M86" s="195">
        <v>5055.2700000000004</v>
      </c>
      <c r="N86" s="39"/>
      <c r="O86" s="194" t="s">
        <v>303</v>
      </c>
      <c r="P86" s="194" t="s">
        <v>304</v>
      </c>
      <c r="Q86" s="194"/>
      <c r="R86" s="194" t="s">
        <v>351</v>
      </c>
      <c r="S86" s="188" t="s">
        <v>424</v>
      </c>
      <c r="T86" s="188"/>
      <c r="U86" s="188"/>
      <c r="V86" s="215"/>
      <c r="W86" s="15"/>
    </row>
    <row r="87" spans="1:23" s="14" customFormat="1" ht="39.75" customHeight="1">
      <c r="A87" s="353"/>
      <c r="B87" s="216" t="s">
        <v>314</v>
      </c>
      <c r="C87" s="194" t="s">
        <v>315</v>
      </c>
      <c r="D87" s="194" t="s">
        <v>316</v>
      </c>
      <c r="E87" s="195">
        <v>17292.25</v>
      </c>
      <c r="F87" s="195">
        <f t="shared" si="11"/>
        <v>17292.25</v>
      </c>
      <c r="G87" s="214">
        <f t="shared" si="9"/>
        <v>0.73604418164206509</v>
      </c>
      <c r="H87" s="217">
        <v>10818.68</v>
      </c>
      <c r="I87" s="195">
        <v>1909.18</v>
      </c>
      <c r="J87" s="217">
        <v>0</v>
      </c>
      <c r="K87" s="195">
        <v>0</v>
      </c>
      <c r="L87" s="195">
        <v>0</v>
      </c>
      <c r="M87" s="195">
        <v>4564.3900000000003</v>
      </c>
      <c r="N87" s="39"/>
      <c r="O87" s="194" t="s">
        <v>303</v>
      </c>
      <c r="P87" s="194" t="s">
        <v>304</v>
      </c>
      <c r="Q87" s="194"/>
      <c r="R87" s="194" t="s">
        <v>351</v>
      </c>
      <c r="S87" s="188" t="s">
        <v>425</v>
      </c>
      <c r="T87" s="188"/>
      <c r="U87" s="188"/>
      <c r="V87" s="215"/>
      <c r="W87" s="15"/>
    </row>
    <row r="88" spans="1:23" s="14" customFormat="1" ht="39.75" customHeight="1">
      <c r="A88" s="353"/>
      <c r="B88" s="216" t="s">
        <v>317</v>
      </c>
      <c r="C88" s="194" t="s">
        <v>318</v>
      </c>
      <c r="D88" s="194" t="s">
        <v>319</v>
      </c>
      <c r="E88" s="195">
        <v>103525.03</v>
      </c>
      <c r="F88" s="218">
        <f t="shared" si="11"/>
        <v>79610.260000000009</v>
      </c>
      <c r="G88" s="223">
        <f t="shared" si="9"/>
        <v>0.84999998743880489</v>
      </c>
      <c r="H88" s="224">
        <v>55902.91</v>
      </c>
      <c r="I88" s="218">
        <v>9865.2199999999993</v>
      </c>
      <c r="J88" s="224">
        <v>1900.59</v>
      </c>
      <c r="K88" s="218">
        <v>0</v>
      </c>
      <c r="L88" s="218">
        <v>0</v>
      </c>
      <c r="M88" s="218">
        <v>11941.54</v>
      </c>
      <c r="N88" s="39"/>
      <c r="O88" s="194" t="s">
        <v>303</v>
      </c>
      <c r="P88" s="194" t="s">
        <v>304</v>
      </c>
      <c r="Q88" s="194"/>
      <c r="R88" s="194" t="s">
        <v>351</v>
      </c>
      <c r="S88" s="188" t="s">
        <v>426</v>
      </c>
      <c r="T88" s="188"/>
      <c r="U88" s="188"/>
      <c r="V88" s="215"/>
      <c r="W88" s="15"/>
    </row>
    <row r="89" spans="1:23" s="14" customFormat="1" ht="39.75" customHeight="1">
      <c r="A89" s="353"/>
      <c r="B89" s="216" t="s">
        <v>320</v>
      </c>
      <c r="C89" s="194" t="s">
        <v>321</v>
      </c>
      <c r="D89" s="194" t="s">
        <v>322</v>
      </c>
      <c r="E89" s="195">
        <v>37500</v>
      </c>
      <c r="F89" s="195">
        <f t="shared" si="11"/>
        <v>35870</v>
      </c>
      <c r="G89" s="214">
        <f t="shared" si="9"/>
        <v>0.85</v>
      </c>
      <c r="H89" s="217">
        <v>25916.07</v>
      </c>
      <c r="I89" s="195">
        <v>4573.43</v>
      </c>
      <c r="J89" s="217">
        <v>0</v>
      </c>
      <c r="K89" s="195">
        <v>0</v>
      </c>
      <c r="L89" s="195">
        <v>0</v>
      </c>
      <c r="M89" s="195">
        <v>5380.5</v>
      </c>
      <c r="N89" s="39"/>
      <c r="O89" s="194" t="s">
        <v>303</v>
      </c>
      <c r="P89" s="194" t="s">
        <v>304</v>
      </c>
      <c r="Q89" s="194"/>
      <c r="R89" s="194" t="s">
        <v>351</v>
      </c>
      <c r="S89" s="188" t="s">
        <v>427</v>
      </c>
      <c r="T89" s="188"/>
      <c r="U89" s="188"/>
      <c r="V89" s="215"/>
      <c r="W89" s="15"/>
    </row>
    <row r="90" spans="1:23" s="14" customFormat="1" ht="45">
      <c r="A90" s="353"/>
      <c r="B90" s="216" t="s">
        <v>323</v>
      </c>
      <c r="C90" s="194" t="s">
        <v>324</v>
      </c>
      <c r="D90" s="194" t="s">
        <v>325</v>
      </c>
      <c r="E90" s="195">
        <v>39481</v>
      </c>
      <c r="F90" s="195">
        <f t="shared" si="11"/>
        <v>33881</v>
      </c>
      <c r="G90" s="214">
        <f t="shared" si="9"/>
        <v>0.77208022195330717</v>
      </c>
      <c r="H90" s="217">
        <v>21917.119999999999</v>
      </c>
      <c r="I90" s="195">
        <v>3867.73</v>
      </c>
      <c r="J90" s="217">
        <v>374</v>
      </c>
      <c r="K90" s="195">
        <v>0</v>
      </c>
      <c r="L90" s="195">
        <v>0</v>
      </c>
      <c r="M90" s="195">
        <v>7722.15</v>
      </c>
      <c r="N90" s="39"/>
      <c r="O90" s="194" t="s">
        <v>303</v>
      </c>
      <c r="P90" s="194" t="s">
        <v>304</v>
      </c>
      <c r="Q90" s="194"/>
      <c r="R90" s="194" t="s">
        <v>351</v>
      </c>
      <c r="S90" s="188" t="s">
        <v>428</v>
      </c>
      <c r="T90" s="188"/>
      <c r="U90" s="188"/>
      <c r="V90" s="215"/>
      <c r="W90" s="15"/>
    </row>
    <row r="91" spans="1:23" s="14" customFormat="1" ht="39.75" customHeight="1">
      <c r="A91" s="353"/>
      <c r="B91" s="216" t="s">
        <v>326</v>
      </c>
      <c r="C91" s="194" t="s">
        <v>327</v>
      </c>
      <c r="D91" s="194" t="s">
        <v>328</v>
      </c>
      <c r="E91" s="195">
        <v>113360</v>
      </c>
      <c r="F91" s="195">
        <f t="shared" si="11"/>
        <v>104980</v>
      </c>
      <c r="G91" s="214">
        <f t="shared" si="9"/>
        <v>0.75</v>
      </c>
      <c r="H91" s="217">
        <v>60670.79</v>
      </c>
      <c r="I91" s="195">
        <v>10706.61</v>
      </c>
      <c r="J91" s="217">
        <v>7357.6</v>
      </c>
      <c r="K91" s="195">
        <v>0</v>
      </c>
      <c r="L91" s="195">
        <v>0</v>
      </c>
      <c r="M91" s="195">
        <v>26245</v>
      </c>
      <c r="N91" s="39"/>
      <c r="O91" s="194" t="s">
        <v>303</v>
      </c>
      <c r="P91" s="194" t="s">
        <v>304</v>
      </c>
      <c r="Q91" s="194"/>
      <c r="R91" s="194" t="s">
        <v>351</v>
      </c>
      <c r="S91" s="188" t="s">
        <v>429</v>
      </c>
      <c r="T91" s="188"/>
      <c r="U91" s="188"/>
      <c r="V91" s="215"/>
      <c r="W91" s="15"/>
    </row>
    <row r="92" spans="1:23" s="14" customFormat="1" ht="39.75" customHeight="1">
      <c r="A92" s="353"/>
      <c r="B92" s="216" t="s">
        <v>329</v>
      </c>
      <c r="C92" s="194" t="s">
        <v>330</v>
      </c>
      <c r="D92" s="194" t="s">
        <v>331</v>
      </c>
      <c r="E92" s="195">
        <v>10488</v>
      </c>
      <c r="F92" s="195">
        <f t="shared" si="11"/>
        <v>10488</v>
      </c>
      <c r="G92" s="214">
        <f t="shared" si="9"/>
        <v>0.75</v>
      </c>
      <c r="H92" s="217">
        <v>6686.1</v>
      </c>
      <c r="I92" s="195">
        <v>1179.9000000000001</v>
      </c>
      <c r="J92" s="217">
        <v>0</v>
      </c>
      <c r="K92" s="195">
        <v>0</v>
      </c>
      <c r="L92" s="195">
        <v>0</v>
      </c>
      <c r="M92" s="195">
        <v>2622</v>
      </c>
      <c r="N92" s="39"/>
      <c r="O92" s="194" t="s">
        <v>303</v>
      </c>
      <c r="P92" s="194" t="s">
        <v>304</v>
      </c>
      <c r="Q92" s="194"/>
      <c r="R92" s="194" t="s">
        <v>351</v>
      </c>
      <c r="S92" s="188" t="s">
        <v>431</v>
      </c>
      <c r="T92" s="188"/>
      <c r="U92" s="188"/>
      <c r="V92" s="215"/>
      <c r="W92" s="15"/>
    </row>
    <row r="93" spans="1:23" s="14" customFormat="1" ht="39.75" customHeight="1">
      <c r="A93" s="353"/>
      <c r="B93" s="216" t="s">
        <v>332</v>
      </c>
      <c r="C93" s="194" t="s">
        <v>333</v>
      </c>
      <c r="D93" s="194" t="s">
        <v>334</v>
      </c>
      <c r="E93" s="195">
        <v>66327.8</v>
      </c>
      <c r="F93" s="195">
        <f t="shared" si="11"/>
        <v>44327.8</v>
      </c>
      <c r="G93" s="214">
        <f t="shared" si="9"/>
        <v>0.74999999999999989</v>
      </c>
      <c r="H93" s="217">
        <v>28258.97</v>
      </c>
      <c r="I93" s="195">
        <v>4986.88</v>
      </c>
      <c r="J93" s="217">
        <v>0</v>
      </c>
      <c r="K93" s="195">
        <v>0</v>
      </c>
      <c r="L93" s="195">
        <v>0</v>
      </c>
      <c r="M93" s="195">
        <v>11081.95</v>
      </c>
      <c r="N93" s="39"/>
      <c r="O93" s="194" t="s">
        <v>303</v>
      </c>
      <c r="P93" s="194" t="s">
        <v>304</v>
      </c>
      <c r="Q93" s="194"/>
      <c r="R93" s="194" t="s">
        <v>351</v>
      </c>
      <c r="S93" s="188" t="s">
        <v>430</v>
      </c>
      <c r="T93" s="188"/>
      <c r="U93" s="188"/>
      <c r="V93" s="215"/>
      <c r="W93" s="15"/>
    </row>
    <row r="94" spans="1:23" s="14" customFormat="1" ht="39.75" customHeight="1">
      <c r="A94" s="353"/>
      <c r="B94" s="216" t="s">
        <v>336</v>
      </c>
      <c r="C94" s="194" t="s">
        <v>337</v>
      </c>
      <c r="D94" s="194" t="s">
        <v>97</v>
      </c>
      <c r="E94" s="195">
        <v>71890</v>
      </c>
      <c r="F94" s="195">
        <f t="shared" si="11"/>
        <v>71890</v>
      </c>
      <c r="G94" s="214">
        <f>(H94+I94+J94+K94+L94)/F94</f>
        <v>0.75</v>
      </c>
      <c r="H94" s="217">
        <v>40635.82</v>
      </c>
      <c r="I94" s="195">
        <v>0</v>
      </c>
      <c r="J94" s="217">
        <v>13281.68</v>
      </c>
      <c r="K94" s="195">
        <v>0</v>
      </c>
      <c r="L94" s="195">
        <v>0</v>
      </c>
      <c r="M94" s="195">
        <v>17972.5</v>
      </c>
      <c r="N94" s="39"/>
      <c r="O94" s="194" t="s">
        <v>204</v>
      </c>
      <c r="P94" s="194" t="s">
        <v>340</v>
      </c>
      <c r="Q94" s="194"/>
      <c r="R94" s="194" t="s">
        <v>348</v>
      </c>
      <c r="S94" s="188" t="s">
        <v>432</v>
      </c>
      <c r="T94" s="188"/>
      <c r="U94" s="188"/>
      <c r="V94" s="215"/>
      <c r="W94" s="15"/>
    </row>
    <row r="95" spans="1:23" s="14" customFormat="1" ht="39.75" customHeight="1">
      <c r="A95" s="353"/>
      <c r="B95" s="216" t="s">
        <v>338</v>
      </c>
      <c r="C95" s="194" t="s">
        <v>339</v>
      </c>
      <c r="D95" s="194" t="s">
        <v>97</v>
      </c>
      <c r="E95" s="195">
        <v>94000</v>
      </c>
      <c r="F95" s="195">
        <f t="shared" ref="F95" si="12">SUM(H95:M95)</f>
        <v>94000</v>
      </c>
      <c r="G95" s="214">
        <f>(H95+I95+J95+K95+L95)/F95</f>
        <v>0.75</v>
      </c>
      <c r="H95" s="217">
        <v>53133.5</v>
      </c>
      <c r="I95" s="195">
        <v>0</v>
      </c>
      <c r="J95" s="217">
        <v>17366.5</v>
      </c>
      <c r="K95" s="195">
        <v>0</v>
      </c>
      <c r="L95" s="195">
        <v>0</v>
      </c>
      <c r="M95" s="195">
        <v>23500</v>
      </c>
      <c r="N95" s="39"/>
      <c r="O95" s="194" t="s">
        <v>204</v>
      </c>
      <c r="P95" s="194" t="s">
        <v>340</v>
      </c>
      <c r="Q95" s="194"/>
      <c r="R95" s="194" t="s">
        <v>348</v>
      </c>
      <c r="S95" s="188" t="s">
        <v>433</v>
      </c>
      <c r="T95" s="188"/>
      <c r="U95" s="188"/>
      <c r="V95" s="215"/>
      <c r="W95" s="15"/>
    </row>
    <row r="96" spans="1:23" s="14" customFormat="1" ht="39.75" customHeight="1">
      <c r="A96" s="353"/>
      <c r="B96" s="216" t="s">
        <v>352</v>
      </c>
      <c r="C96" s="194" t="s">
        <v>353</v>
      </c>
      <c r="D96" s="194" t="s">
        <v>354</v>
      </c>
      <c r="E96" s="195">
        <v>118362.6</v>
      </c>
      <c r="F96" s="195">
        <f t="shared" ref="F96" si="13">SUM(H96:M96)</f>
        <v>109015.1</v>
      </c>
      <c r="G96" s="214">
        <f>(H96+I96+J96+K96+L96)/F96</f>
        <v>0.75000004586520586</v>
      </c>
      <c r="H96" s="217">
        <v>69497.13</v>
      </c>
      <c r="I96" s="195">
        <v>12264.2</v>
      </c>
      <c r="J96" s="217">
        <v>0</v>
      </c>
      <c r="K96" s="195">
        <v>0</v>
      </c>
      <c r="L96" s="195">
        <v>0</v>
      </c>
      <c r="M96" s="195">
        <v>27253.77</v>
      </c>
      <c r="N96" s="39"/>
      <c r="O96" s="194" t="s">
        <v>355</v>
      </c>
      <c r="P96" s="194" t="s">
        <v>356</v>
      </c>
      <c r="Q96" s="194"/>
      <c r="R96" s="194" t="s">
        <v>400</v>
      </c>
      <c r="S96" s="188" t="s">
        <v>447</v>
      </c>
      <c r="T96" s="188"/>
      <c r="U96" s="188"/>
      <c r="V96" s="215"/>
      <c r="W96" s="15"/>
    </row>
    <row r="97" spans="1:23" s="14" customFormat="1" ht="39.75" customHeight="1">
      <c r="A97" s="353"/>
      <c r="B97" s="216" t="s">
        <v>357</v>
      </c>
      <c r="C97" s="194" t="s">
        <v>358</v>
      </c>
      <c r="D97" s="194" t="s">
        <v>63</v>
      </c>
      <c r="E97" s="195">
        <v>11952.38</v>
      </c>
      <c r="F97" s="195">
        <f t="shared" ref="F97:F100" si="14">SUM(H97:M97)</f>
        <v>11952.380000000001</v>
      </c>
      <c r="G97" s="214">
        <f t="shared" ref="G97:G116" si="15">(H97+I97+J97+K97+L97)/F97</f>
        <v>0.84999974900396402</v>
      </c>
      <c r="H97" s="217">
        <v>8635.59</v>
      </c>
      <c r="I97" s="195">
        <v>1523.93</v>
      </c>
      <c r="J97" s="217">
        <v>0</v>
      </c>
      <c r="K97" s="195">
        <v>0</v>
      </c>
      <c r="L97" s="195">
        <v>0</v>
      </c>
      <c r="M97" s="195">
        <v>1792.86</v>
      </c>
      <c r="N97" s="39"/>
      <c r="O97" s="194" t="s">
        <v>355</v>
      </c>
      <c r="P97" s="194" t="s">
        <v>356</v>
      </c>
      <c r="Q97" s="194"/>
      <c r="R97" s="194" t="s">
        <v>400</v>
      </c>
      <c r="S97" s="188" t="s">
        <v>435</v>
      </c>
      <c r="T97" s="188"/>
      <c r="U97" s="188"/>
      <c r="V97" s="215"/>
      <c r="W97" s="15"/>
    </row>
    <row r="98" spans="1:23" s="14" customFormat="1" ht="39.75" customHeight="1">
      <c r="A98" s="353"/>
      <c r="B98" s="216" t="s">
        <v>359</v>
      </c>
      <c r="C98" s="194" t="s">
        <v>360</v>
      </c>
      <c r="D98" s="194" t="s">
        <v>361</v>
      </c>
      <c r="E98" s="195">
        <v>6923.38</v>
      </c>
      <c r="F98" s="195">
        <f t="shared" si="14"/>
        <v>6923.38</v>
      </c>
      <c r="G98" s="214">
        <f t="shared" si="15"/>
        <v>0.75000072219060632</v>
      </c>
      <c r="H98" s="217">
        <v>4413.6499999999996</v>
      </c>
      <c r="I98" s="195">
        <v>778.89</v>
      </c>
      <c r="J98" s="217">
        <v>0</v>
      </c>
      <c r="K98" s="195">
        <v>0</v>
      </c>
      <c r="L98" s="195">
        <v>0</v>
      </c>
      <c r="M98" s="195">
        <v>1730.84</v>
      </c>
      <c r="N98" s="39"/>
      <c r="O98" s="194" t="s">
        <v>355</v>
      </c>
      <c r="P98" s="194" t="s">
        <v>356</v>
      </c>
      <c r="Q98" s="194"/>
      <c r="R98" s="194" t="s">
        <v>400</v>
      </c>
      <c r="S98" s="188" t="s">
        <v>437</v>
      </c>
      <c r="T98" s="188"/>
      <c r="U98" s="188"/>
      <c r="V98" s="215"/>
      <c r="W98" s="15"/>
    </row>
    <row r="99" spans="1:23" s="14" customFormat="1" ht="39.75" customHeight="1">
      <c r="A99" s="353"/>
      <c r="B99" s="216" t="s">
        <v>362</v>
      </c>
      <c r="C99" s="194" t="s">
        <v>363</v>
      </c>
      <c r="D99" s="194" t="s">
        <v>364</v>
      </c>
      <c r="E99" s="195">
        <v>3315.34</v>
      </c>
      <c r="F99" s="195">
        <f t="shared" si="14"/>
        <v>1386</v>
      </c>
      <c r="G99" s="214">
        <f t="shared" si="15"/>
        <v>0.65</v>
      </c>
      <c r="H99" s="217">
        <v>765.76</v>
      </c>
      <c r="I99" s="195">
        <v>135.13999999999999</v>
      </c>
      <c r="J99" s="217">
        <v>0</v>
      </c>
      <c r="K99" s="195">
        <v>0</v>
      </c>
      <c r="L99" s="195">
        <v>0</v>
      </c>
      <c r="M99" s="195">
        <v>485.1</v>
      </c>
      <c r="N99" s="39"/>
      <c r="O99" s="194" t="s">
        <v>355</v>
      </c>
      <c r="P99" s="194" t="s">
        <v>356</v>
      </c>
      <c r="Q99" s="194"/>
      <c r="R99" s="194" t="s">
        <v>400</v>
      </c>
      <c r="S99" s="188" t="s">
        <v>434</v>
      </c>
      <c r="T99" s="188"/>
      <c r="U99" s="188"/>
      <c r="V99" s="215"/>
      <c r="W99" s="15"/>
    </row>
    <row r="100" spans="1:23" s="14" customFormat="1" ht="39.75" customHeight="1">
      <c r="A100" s="353"/>
      <c r="B100" s="216" t="s">
        <v>365</v>
      </c>
      <c r="C100" s="194" t="s">
        <v>366</v>
      </c>
      <c r="D100" s="194" t="s">
        <v>367</v>
      </c>
      <c r="E100" s="195">
        <v>7689</v>
      </c>
      <c r="F100" s="195">
        <f t="shared" si="14"/>
        <v>2640</v>
      </c>
      <c r="G100" s="214">
        <f t="shared" si="15"/>
        <v>0.65</v>
      </c>
      <c r="H100" s="217">
        <v>1458.6</v>
      </c>
      <c r="I100" s="195">
        <v>257.39999999999998</v>
      </c>
      <c r="J100" s="217">
        <v>0</v>
      </c>
      <c r="K100" s="195">
        <v>0</v>
      </c>
      <c r="L100" s="195">
        <v>0</v>
      </c>
      <c r="M100" s="195">
        <v>924</v>
      </c>
      <c r="N100" s="39"/>
      <c r="O100" s="194" t="s">
        <v>355</v>
      </c>
      <c r="P100" s="194" t="s">
        <v>356</v>
      </c>
      <c r="Q100" s="194"/>
      <c r="R100" s="194" t="s">
        <v>400</v>
      </c>
      <c r="S100" s="188" t="s">
        <v>438</v>
      </c>
      <c r="T100" s="188"/>
      <c r="U100" s="188"/>
      <c r="V100" s="215"/>
      <c r="W100" s="15"/>
    </row>
    <row r="101" spans="1:23" s="14" customFormat="1" ht="39.75" customHeight="1">
      <c r="A101" s="353"/>
      <c r="B101" s="216" t="s">
        <v>368</v>
      </c>
      <c r="C101" s="194" t="s">
        <v>369</v>
      </c>
      <c r="D101" s="194" t="s">
        <v>370</v>
      </c>
      <c r="E101" s="195">
        <v>70989.8</v>
      </c>
      <c r="F101" s="195">
        <f t="shared" ref="F101:F116" si="16">SUM(H101:M101)</f>
        <v>9059.1</v>
      </c>
      <c r="G101" s="214">
        <f t="shared" si="15"/>
        <v>0.75000055193120729</v>
      </c>
      <c r="H101" s="217">
        <v>5775.18</v>
      </c>
      <c r="I101" s="195">
        <v>1019.15</v>
      </c>
      <c r="J101" s="217">
        <v>0</v>
      </c>
      <c r="K101" s="195">
        <v>0</v>
      </c>
      <c r="L101" s="195">
        <v>0</v>
      </c>
      <c r="M101" s="195">
        <v>2264.77</v>
      </c>
      <c r="N101" s="39"/>
      <c r="O101" s="194" t="s">
        <v>355</v>
      </c>
      <c r="P101" s="194" t="s">
        <v>356</v>
      </c>
      <c r="Q101" s="194"/>
      <c r="R101" s="194" t="s">
        <v>400</v>
      </c>
      <c r="S101" s="188" t="s">
        <v>439</v>
      </c>
      <c r="T101" s="188"/>
      <c r="U101" s="188"/>
      <c r="V101" s="215"/>
      <c r="W101" s="15"/>
    </row>
    <row r="102" spans="1:23" s="14" customFormat="1" ht="39.75" customHeight="1">
      <c r="A102" s="353"/>
      <c r="B102" s="216" t="s">
        <v>371</v>
      </c>
      <c r="C102" s="194" t="s">
        <v>372</v>
      </c>
      <c r="D102" s="194" t="s">
        <v>373</v>
      </c>
      <c r="E102" s="195">
        <v>32413.599999999999</v>
      </c>
      <c r="F102" s="195">
        <f t="shared" si="16"/>
        <v>32413.599999999999</v>
      </c>
      <c r="G102" s="214">
        <f t="shared" si="15"/>
        <v>0.50000000000000011</v>
      </c>
      <c r="H102" s="217">
        <v>13775.78</v>
      </c>
      <c r="I102" s="195">
        <v>2431.02</v>
      </c>
      <c r="J102" s="217">
        <v>0</v>
      </c>
      <c r="K102" s="195">
        <v>0</v>
      </c>
      <c r="L102" s="195">
        <v>0</v>
      </c>
      <c r="M102" s="195">
        <v>16206.8</v>
      </c>
      <c r="N102" s="39"/>
      <c r="O102" s="194" t="s">
        <v>355</v>
      </c>
      <c r="P102" s="194" t="s">
        <v>356</v>
      </c>
      <c r="Q102" s="194"/>
      <c r="R102" s="194" t="s">
        <v>400</v>
      </c>
      <c r="S102" s="188" t="s">
        <v>440</v>
      </c>
      <c r="T102" s="188"/>
      <c r="U102" s="188"/>
      <c r="V102" s="215"/>
      <c r="W102" s="15"/>
    </row>
    <row r="103" spans="1:23" s="14" customFormat="1" ht="39.75" customHeight="1">
      <c r="A103" s="353"/>
      <c r="B103" s="216" t="s">
        <v>379</v>
      </c>
      <c r="C103" s="194" t="s">
        <v>259</v>
      </c>
      <c r="D103" s="194" t="s">
        <v>260</v>
      </c>
      <c r="E103" s="195">
        <v>10768</v>
      </c>
      <c r="F103" s="195">
        <f t="shared" si="16"/>
        <v>6600</v>
      </c>
      <c r="G103" s="214">
        <f t="shared" si="15"/>
        <v>0.65</v>
      </c>
      <c r="H103" s="217">
        <v>3646.5</v>
      </c>
      <c r="I103" s="195">
        <v>643.5</v>
      </c>
      <c r="J103" s="217">
        <v>0</v>
      </c>
      <c r="K103" s="195">
        <v>0</v>
      </c>
      <c r="L103" s="195">
        <v>0</v>
      </c>
      <c r="M103" s="195">
        <v>2310</v>
      </c>
      <c r="N103" s="39"/>
      <c r="O103" s="194" t="s">
        <v>250</v>
      </c>
      <c r="P103" s="194" t="s">
        <v>380</v>
      </c>
      <c r="Q103" s="194"/>
      <c r="R103" s="219" t="s">
        <v>541</v>
      </c>
      <c r="S103" s="188" t="s">
        <v>540</v>
      </c>
      <c r="T103" s="188"/>
      <c r="U103" s="188"/>
      <c r="V103" s="215"/>
      <c r="W103" s="15"/>
    </row>
    <row r="104" spans="1:23" s="14" customFormat="1" ht="39.75" customHeight="1">
      <c r="A104" s="353"/>
      <c r="B104" s="216" t="s">
        <v>381</v>
      </c>
      <c r="C104" s="194" t="s">
        <v>382</v>
      </c>
      <c r="D104" s="194" t="s">
        <v>383</v>
      </c>
      <c r="E104" s="195">
        <v>56962.720000000001</v>
      </c>
      <c r="F104" s="195">
        <f t="shared" si="16"/>
        <v>32122.720000000001</v>
      </c>
      <c r="G104" s="214">
        <f t="shared" si="15"/>
        <v>0.70377103806900532</v>
      </c>
      <c r="H104" s="217">
        <v>19215.98</v>
      </c>
      <c r="I104" s="195">
        <v>3391.06</v>
      </c>
      <c r="J104" s="217">
        <v>0</v>
      </c>
      <c r="K104" s="195">
        <v>0</v>
      </c>
      <c r="L104" s="195">
        <v>0</v>
      </c>
      <c r="M104" s="195">
        <v>9515.68</v>
      </c>
      <c r="N104" s="39"/>
      <c r="O104" s="194" t="s">
        <v>384</v>
      </c>
      <c r="P104" s="194" t="s">
        <v>380</v>
      </c>
      <c r="Q104" s="194"/>
      <c r="R104" s="194" t="s">
        <v>401</v>
      </c>
      <c r="S104" s="188" t="s">
        <v>441</v>
      </c>
      <c r="T104" s="188"/>
      <c r="U104" s="188"/>
      <c r="V104" s="215"/>
      <c r="W104" s="15"/>
    </row>
    <row r="105" spans="1:23" s="14" customFormat="1" ht="45">
      <c r="A105" s="353"/>
      <c r="B105" s="362" t="s">
        <v>385</v>
      </c>
      <c r="C105" s="340" t="s">
        <v>386</v>
      </c>
      <c r="D105" s="340" t="s">
        <v>387</v>
      </c>
      <c r="E105" s="363">
        <v>155144.04999999999</v>
      </c>
      <c r="F105" s="364">
        <f t="shared" si="16"/>
        <v>104380.1</v>
      </c>
      <c r="G105" s="365">
        <f t="shared" si="15"/>
        <v>0.75000004790185104</v>
      </c>
      <c r="H105" s="366">
        <v>66542.31</v>
      </c>
      <c r="I105" s="364">
        <v>11742.77</v>
      </c>
      <c r="J105" s="366">
        <v>0</v>
      </c>
      <c r="K105" s="364">
        <v>0</v>
      </c>
      <c r="L105" s="364">
        <v>0</v>
      </c>
      <c r="M105" s="364">
        <v>26095.02</v>
      </c>
      <c r="N105" s="339"/>
      <c r="O105" s="340" t="s">
        <v>384</v>
      </c>
      <c r="P105" s="340" t="s">
        <v>709</v>
      </c>
      <c r="Q105" s="342" t="s">
        <v>703</v>
      </c>
      <c r="R105" s="194" t="s">
        <v>401</v>
      </c>
      <c r="S105" s="188" t="s">
        <v>442</v>
      </c>
      <c r="T105" s="188"/>
      <c r="U105" s="188"/>
      <c r="V105" s="215"/>
      <c r="W105" s="15"/>
    </row>
    <row r="106" spans="1:23" s="14" customFormat="1" ht="39.75" customHeight="1">
      <c r="A106" s="353"/>
      <c r="B106" s="216" t="s">
        <v>388</v>
      </c>
      <c r="C106" s="194" t="s">
        <v>389</v>
      </c>
      <c r="D106" s="194" t="s">
        <v>390</v>
      </c>
      <c r="E106" s="195">
        <v>13783.35</v>
      </c>
      <c r="F106" s="195">
        <f t="shared" si="16"/>
        <v>13723.5</v>
      </c>
      <c r="G106" s="214">
        <f t="shared" si="15"/>
        <v>0.5</v>
      </c>
      <c r="H106" s="217">
        <v>5832.48</v>
      </c>
      <c r="I106" s="195">
        <v>1029.27</v>
      </c>
      <c r="J106" s="217">
        <v>0</v>
      </c>
      <c r="K106" s="195">
        <v>0</v>
      </c>
      <c r="L106" s="195">
        <v>0</v>
      </c>
      <c r="M106" s="195">
        <v>6861.75</v>
      </c>
      <c r="N106" s="39"/>
      <c r="O106" s="194" t="s">
        <v>384</v>
      </c>
      <c r="P106" s="194" t="s">
        <v>380</v>
      </c>
      <c r="Q106" s="194"/>
      <c r="R106" s="194" t="s">
        <v>401</v>
      </c>
      <c r="S106" s="188" t="s">
        <v>443</v>
      </c>
      <c r="T106" s="188"/>
      <c r="U106" s="188"/>
      <c r="V106" s="215"/>
      <c r="W106" s="15"/>
    </row>
    <row r="107" spans="1:23" s="14" customFormat="1" ht="39.75" customHeight="1">
      <c r="A107" s="353"/>
      <c r="B107" s="216" t="s">
        <v>391</v>
      </c>
      <c r="C107" s="194" t="s">
        <v>392</v>
      </c>
      <c r="D107" s="194" t="s">
        <v>111</v>
      </c>
      <c r="E107" s="195">
        <v>28630</v>
      </c>
      <c r="F107" s="195">
        <f t="shared" si="16"/>
        <v>28630</v>
      </c>
      <c r="G107" s="214">
        <f t="shared" si="15"/>
        <v>0.75</v>
      </c>
      <c r="H107" s="217">
        <v>17818.12</v>
      </c>
      <c r="I107" s="195">
        <v>3144.38</v>
      </c>
      <c r="J107" s="217">
        <v>510</v>
      </c>
      <c r="K107" s="195">
        <v>0</v>
      </c>
      <c r="L107" s="195">
        <v>0</v>
      </c>
      <c r="M107" s="195">
        <v>7157.5</v>
      </c>
      <c r="N107" s="39"/>
      <c r="O107" s="194" t="s">
        <v>384</v>
      </c>
      <c r="P107" s="194" t="s">
        <v>380</v>
      </c>
      <c r="Q107" s="194"/>
      <c r="R107" s="194" t="s">
        <v>401</v>
      </c>
      <c r="S107" s="188" t="s">
        <v>444</v>
      </c>
      <c r="T107" s="188"/>
      <c r="U107" s="188"/>
      <c r="V107" s="215"/>
      <c r="W107" s="15"/>
    </row>
    <row r="108" spans="1:23" s="14" customFormat="1" ht="39.75" customHeight="1">
      <c r="A108" s="353"/>
      <c r="B108" s="216" t="s">
        <v>393</v>
      </c>
      <c r="C108" s="194" t="s">
        <v>394</v>
      </c>
      <c r="D108" s="194" t="s">
        <v>395</v>
      </c>
      <c r="E108" s="195">
        <v>119017</v>
      </c>
      <c r="F108" s="195">
        <f t="shared" si="16"/>
        <v>114317</v>
      </c>
      <c r="G108" s="214">
        <f t="shared" si="15"/>
        <v>0.65</v>
      </c>
      <c r="H108" s="217">
        <v>63160.14</v>
      </c>
      <c r="I108" s="195">
        <v>11145.91</v>
      </c>
      <c r="J108" s="217">
        <v>0</v>
      </c>
      <c r="K108" s="195">
        <v>0</v>
      </c>
      <c r="L108" s="195">
        <v>0</v>
      </c>
      <c r="M108" s="195">
        <v>40010.949999999997</v>
      </c>
      <c r="N108" s="39"/>
      <c r="O108" s="194" t="s">
        <v>384</v>
      </c>
      <c r="P108" s="194" t="s">
        <v>380</v>
      </c>
      <c r="Q108" s="194"/>
      <c r="R108" s="194" t="s">
        <v>401</v>
      </c>
      <c r="S108" s="188" t="s">
        <v>445</v>
      </c>
      <c r="T108" s="188"/>
      <c r="U108" s="188"/>
      <c r="V108" s="215"/>
      <c r="W108" s="15"/>
    </row>
    <row r="109" spans="1:23" s="14" customFormat="1" ht="39.75" customHeight="1">
      <c r="A109" s="353"/>
      <c r="B109" s="216" t="s">
        <v>396</v>
      </c>
      <c r="C109" s="194" t="s">
        <v>397</v>
      </c>
      <c r="D109" s="194" t="s">
        <v>398</v>
      </c>
      <c r="E109" s="195">
        <v>41941.449999999997</v>
      </c>
      <c r="F109" s="195">
        <f t="shared" si="16"/>
        <v>18755.449999999997</v>
      </c>
      <c r="G109" s="214">
        <f t="shared" si="15"/>
        <v>0.50000026658917818</v>
      </c>
      <c r="H109" s="217">
        <v>7971.07</v>
      </c>
      <c r="I109" s="195">
        <v>1406.66</v>
      </c>
      <c r="J109" s="217">
        <v>0</v>
      </c>
      <c r="K109" s="195">
        <v>0</v>
      </c>
      <c r="L109" s="195">
        <v>0</v>
      </c>
      <c r="M109" s="195">
        <v>9377.7199999999993</v>
      </c>
      <c r="N109" s="39"/>
      <c r="O109" s="194" t="s">
        <v>384</v>
      </c>
      <c r="P109" s="194" t="s">
        <v>380</v>
      </c>
      <c r="Q109" s="194"/>
      <c r="R109" s="194" t="s">
        <v>401</v>
      </c>
      <c r="S109" s="188" t="s">
        <v>446</v>
      </c>
      <c r="T109" s="188"/>
      <c r="U109" s="188"/>
      <c r="V109" s="215"/>
      <c r="W109" s="15"/>
    </row>
    <row r="110" spans="1:23" s="14" customFormat="1" ht="39.75" customHeight="1">
      <c r="A110" s="353"/>
      <c r="B110" s="216" t="s">
        <v>537</v>
      </c>
      <c r="C110" s="194" t="s">
        <v>402</v>
      </c>
      <c r="D110" s="194" t="s">
        <v>403</v>
      </c>
      <c r="E110" s="195">
        <v>123000</v>
      </c>
      <c r="F110" s="195">
        <f>SUM(H110:M110)</f>
        <v>51390</v>
      </c>
      <c r="G110" s="214">
        <f t="shared" si="15"/>
        <v>0.55925277291301811</v>
      </c>
      <c r="H110" s="217">
        <v>23888.57</v>
      </c>
      <c r="I110" s="195">
        <v>4215.63</v>
      </c>
      <c r="J110" s="217">
        <v>635.79999999999995</v>
      </c>
      <c r="K110" s="195">
        <v>0</v>
      </c>
      <c r="L110" s="195">
        <v>0</v>
      </c>
      <c r="M110" s="195">
        <v>22650</v>
      </c>
      <c r="N110" s="39"/>
      <c r="O110" s="194" t="s">
        <v>404</v>
      </c>
      <c r="P110" s="194" t="s">
        <v>405</v>
      </c>
      <c r="Q110" s="194"/>
      <c r="R110" s="194" t="s">
        <v>538</v>
      </c>
      <c r="S110" s="188" t="s">
        <v>539</v>
      </c>
      <c r="T110" s="188"/>
      <c r="U110" s="188"/>
      <c r="V110" s="215"/>
      <c r="W110" s="15"/>
    </row>
    <row r="111" spans="1:23" s="14" customFormat="1" ht="47.25" customHeight="1">
      <c r="A111" s="353"/>
      <c r="B111" s="216" t="s">
        <v>408</v>
      </c>
      <c r="C111" s="194" t="s">
        <v>406</v>
      </c>
      <c r="D111" s="194" t="s">
        <v>407</v>
      </c>
      <c r="E111" s="195">
        <v>93841.7</v>
      </c>
      <c r="F111" s="195">
        <f t="shared" si="16"/>
        <v>93841.7</v>
      </c>
      <c r="G111" s="214">
        <f t="shared" si="15"/>
        <v>0.56441326190808561</v>
      </c>
      <c r="H111" s="217">
        <v>45020.67</v>
      </c>
      <c r="I111" s="195">
        <v>7944.83</v>
      </c>
      <c r="J111" s="217">
        <v>0</v>
      </c>
      <c r="K111" s="195">
        <v>0</v>
      </c>
      <c r="L111" s="195">
        <v>0</v>
      </c>
      <c r="M111" s="195">
        <v>40876.199999999997</v>
      </c>
      <c r="N111" s="39"/>
      <c r="O111" s="194" t="s">
        <v>404</v>
      </c>
      <c r="P111" s="194" t="s">
        <v>405</v>
      </c>
      <c r="Q111" s="194"/>
      <c r="R111" s="194" t="s">
        <v>472</v>
      </c>
      <c r="S111" s="188" t="s">
        <v>495</v>
      </c>
      <c r="T111" s="188"/>
      <c r="U111" s="188"/>
      <c r="V111" s="215"/>
      <c r="W111" s="15"/>
    </row>
    <row r="112" spans="1:23" s="14" customFormat="1" ht="39.75" customHeight="1">
      <c r="A112" s="353"/>
      <c r="B112" s="216" t="s">
        <v>162</v>
      </c>
      <c r="C112" s="194" t="s">
        <v>409</v>
      </c>
      <c r="D112" s="194" t="s">
        <v>331</v>
      </c>
      <c r="E112" s="195">
        <v>28819.35</v>
      </c>
      <c r="F112" s="195">
        <f t="shared" si="16"/>
        <v>28819.35</v>
      </c>
      <c r="G112" s="214">
        <f t="shared" si="15"/>
        <v>0.50000017349454451</v>
      </c>
      <c r="H112" s="217">
        <v>12248.22</v>
      </c>
      <c r="I112" s="195">
        <v>2161.46</v>
      </c>
      <c r="J112" s="217">
        <v>0</v>
      </c>
      <c r="K112" s="195">
        <v>0</v>
      </c>
      <c r="L112" s="195">
        <v>0</v>
      </c>
      <c r="M112" s="195">
        <v>14409.67</v>
      </c>
      <c r="N112" s="39"/>
      <c r="O112" s="194" t="s">
        <v>404</v>
      </c>
      <c r="P112" s="194" t="s">
        <v>405</v>
      </c>
      <c r="Q112" s="194"/>
      <c r="R112" s="194" t="s">
        <v>472</v>
      </c>
      <c r="S112" s="188" t="s">
        <v>493</v>
      </c>
      <c r="T112" s="188"/>
      <c r="U112" s="188"/>
      <c r="V112" s="215"/>
      <c r="W112" s="15"/>
    </row>
    <row r="113" spans="1:23" s="14" customFormat="1" ht="39.75" customHeight="1">
      <c r="A113" s="353"/>
      <c r="B113" s="216" t="s">
        <v>410</v>
      </c>
      <c r="C113" s="194" t="s">
        <v>411</v>
      </c>
      <c r="D113" s="194" t="s">
        <v>331</v>
      </c>
      <c r="E113" s="195">
        <v>20871</v>
      </c>
      <c r="F113" s="195">
        <f t="shared" si="16"/>
        <v>19805</v>
      </c>
      <c r="G113" s="214">
        <f t="shared" si="15"/>
        <v>0.65</v>
      </c>
      <c r="H113" s="217">
        <v>10942.26</v>
      </c>
      <c r="I113" s="195">
        <v>1930.99</v>
      </c>
      <c r="J113" s="217">
        <v>0</v>
      </c>
      <c r="K113" s="195">
        <v>0</v>
      </c>
      <c r="L113" s="195">
        <v>0</v>
      </c>
      <c r="M113" s="195">
        <v>6931.75</v>
      </c>
      <c r="N113" s="39"/>
      <c r="O113" s="194" t="s">
        <v>404</v>
      </c>
      <c r="P113" s="194" t="s">
        <v>405</v>
      </c>
      <c r="Q113" s="194"/>
      <c r="R113" s="194" t="s">
        <v>472</v>
      </c>
      <c r="S113" s="188" t="s">
        <v>494</v>
      </c>
      <c r="T113" s="188"/>
      <c r="U113" s="188"/>
      <c r="V113" s="215"/>
      <c r="W113" s="15"/>
    </row>
    <row r="114" spans="1:23" s="14" customFormat="1" ht="39.75" customHeight="1">
      <c r="A114" s="353"/>
      <c r="B114" s="216" t="s">
        <v>412</v>
      </c>
      <c r="C114" s="194" t="s">
        <v>413</v>
      </c>
      <c r="D114" s="194" t="s">
        <v>277</v>
      </c>
      <c r="E114" s="195">
        <v>64742.1</v>
      </c>
      <c r="F114" s="195">
        <f t="shared" si="16"/>
        <v>39732.800000000003</v>
      </c>
      <c r="G114" s="214">
        <f t="shared" si="15"/>
        <v>0.49999999999999989</v>
      </c>
      <c r="H114" s="217">
        <v>16886.439999999999</v>
      </c>
      <c r="I114" s="195">
        <v>2979.96</v>
      </c>
      <c r="J114" s="217">
        <v>0</v>
      </c>
      <c r="K114" s="195">
        <v>0</v>
      </c>
      <c r="L114" s="195">
        <v>0</v>
      </c>
      <c r="M114" s="195">
        <v>19866.400000000001</v>
      </c>
      <c r="N114" s="39"/>
      <c r="O114" s="194" t="s">
        <v>404</v>
      </c>
      <c r="P114" s="194" t="s">
        <v>405</v>
      </c>
      <c r="Q114" s="194"/>
      <c r="R114" s="194" t="s">
        <v>472</v>
      </c>
      <c r="S114" s="188" t="s">
        <v>492</v>
      </c>
      <c r="T114" s="188"/>
      <c r="U114" s="188"/>
      <c r="V114" s="215"/>
      <c r="W114" s="15"/>
    </row>
    <row r="115" spans="1:23" s="14" customFormat="1" ht="39.75" customHeight="1">
      <c r="A115" s="353"/>
      <c r="B115" s="216" t="s">
        <v>414</v>
      </c>
      <c r="C115" s="194" t="s">
        <v>415</v>
      </c>
      <c r="D115" s="194" t="s">
        <v>178</v>
      </c>
      <c r="E115" s="195">
        <v>20324.849999999999</v>
      </c>
      <c r="F115" s="195">
        <f t="shared" si="16"/>
        <v>19670.349999999999</v>
      </c>
      <c r="G115" s="214">
        <f t="shared" si="15"/>
        <v>0.50000025418968153</v>
      </c>
      <c r="H115" s="217">
        <v>8359.9</v>
      </c>
      <c r="I115" s="195">
        <v>1475.28</v>
      </c>
      <c r="J115" s="217">
        <v>0</v>
      </c>
      <c r="K115" s="195">
        <v>0</v>
      </c>
      <c r="L115" s="195">
        <v>0</v>
      </c>
      <c r="M115" s="195">
        <v>9835.17</v>
      </c>
      <c r="N115" s="39"/>
      <c r="O115" s="194" t="s">
        <v>404</v>
      </c>
      <c r="P115" s="194" t="s">
        <v>405</v>
      </c>
      <c r="Q115" s="194"/>
      <c r="R115" s="194" t="s">
        <v>472</v>
      </c>
      <c r="S115" s="188" t="s">
        <v>491</v>
      </c>
      <c r="T115" s="188"/>
      <c r="U115" s="188"/>
      <c r="V115" s="215"/>
      <c r="W115" s="15"/>
    </row>
    <row r="116" spans="1:23" s="14" customFormat="1" ht="39.75" customHeight="1">
      <c r="A116" s="353"/>
      <c r="B116" s="216" t="s">
        <v>418</v>
      </c>
      <c r="C116" s="194" t="s">
        <v>416</v>
      </c>
      <c r="D116" s="194" t="s">
        <v>417</v>
      </c>
      <c r="E116" s="195">
        <v>115991.23</v>
      </c>
      <c r="F116" s="195">
        <f t="shared" si="16"/>
        <v>106405.73000000001</v>
      </c>
      <c r="G116" s="214">
        <f t="shared" si="15"/>
        <v>0.82732029562693665</v>
      </c>
      <c r="H116" s="217">
        <v>72780.06</v>
      </c>
      <c r="I116" s="195">
        <v>12843.54</v>
      </c>
      <c r="J116" s="217">
        <v>2408.02</v>
      </c>
      <c r="K116" s="195">
        <v>0</v>
      </c>
      <c r="L116" s="195">
        <v>0</v>
      </c>
      <c r="M116" s="195">
        <v>18374.11</v>
      </c>
      <c r="N116" s="39"/>
      <c r="O116" s="194" t="s">
        <v>404</v>
      </c>
      <c r="P116" s="194" t="s">
        <v>405</v>
      </c>
      <c r="Q116" s="194"/>
      <c r="R116" s="194" t="s">
        <v>472</v>
      </c>
      <c r="S116" s="188" t="s">
        <v>490</v>
      </c>
      <c r="T116" s="188"/>
      <c r="U116" s="188"/>
      <c r="V116" s="215"/>
      <c r="W116" s="15"/>
    </row>
    <row r="117" spans="1:23" s="14" customFormat="1" ht="39.75" customHeight="1">
      <c r="A117" s="298"/>
      <c r="B117" s="216" t="s">
        <v>473</v>
      </c>
      <c r="C117" s="194" t="s">
        <v>474</v>
      </c>
      <c r="D117" s="194" t="s">
        <v>387</v>
      </c>
      <c r="E117" s="195">
        <v>276410.34999999998</v>
      </c>
      <c r="F117" s="195">
        <v>153000.75</v>
      </c>
      <c r="G117" s="214">
        <v>0.57434607346696021</v>
      </c>
      <c r="H117" s="217">
        <v>74694.070000000007</v>
      </c>
      <c r="I117" s="195">
        <v>13181.31</v>
      </c>
      <c r="J117" s="217">
        <v>0</v>
      </c>
      <c r="K117" s="195">
        <v>0</v>
      </c>
      <c r="L117" s="195">
        <v>0</v>
      </c>
      <c r="M117" s="195">
        <v>65125.37</v>
      </c>
      <c r="N117" s="39"/>
      <c r="O117" s="194" t="s">
        <v>569</v>
      </c>
      <c r="P117" s="194" t="s">
        <v>487</v>
      </c>
      <c r="Q117" s="225">
        <v>42831</v>
      </c>
      <c r="R117" s="194" t="s">
        <v>496</v>
      </c>
      <c r="S117" s="188" t="s">
        <v>574</v>
      </c>
      <c r="T117" s="188"/>
      <c r="U117" s="188"/>
      <c r="V117" s="215"/>
      <c r="W117" s="15"/>
    </row>
    <row r="118" spans="1:23" s="14" customFormat="1" ht="39.75" customHeight="1">
      <c r="A118" s="298"/>
      <c r="B118" s="216" t="s">
        <v>475</v>
      </c>
      <c r="C118" s="194" t="s">
        <v>476</v>
      </c>
      <c r="D118" s="194" t="s">
        <v>477</v>
      </c>
      <c r="E118" s="195">
        <v>183306.07</v>
      </c>
      <c r="F118" s="195">
        <v>181738.35</v>
      </c>
      <c r="G118" s="214">
        <v>0.50000002751207995</v>
      </c>
      <c r="H118" s="217">
        <v>77238.8</v>
      </c>
      <c r="I118" s="195">
        <v>13630.38</v>
      </c>
      <c r="J118" s="217">
        <v>0</v>
      </c>
      <c r="K118" s="195">
        <v>0</v>
      </c>
      <c r="L118" s="195">
        <v>0</v>
      </c>
      <c r="M118" s="195">
        <v>90869.17</v>
      </c>
      <c r="N118" s="39"/>
      <c r="O118" s="194" t="s">
        <v>569</v>
      </c>
      <c r="P118" s="194" t="s">
        <v>487</v>
      </c>
      <c r="Q118" s="225">
        <v>42831</v>
      </c>
      <c r="R118" s="194" t="s">
        <v>496</v>
      </c>
      <c r="S118" s="188" t="s">
        <v>576</v>
      </c>
      <c r="T118" s="188"/>
      <c r="U118" s="188"/>
      <c r="V118" s="215"/>
      <c r="W118" s="15"/>
    </row>
    <row r="119" spans="1:23" s="14" customFormat="1" ht="46.5" customHeight="1">
      <c r="A119" s="298"/>
      <c r="B119" s="216" t="s">
        <v>478</v>
      </c>
      <c r="C119" s="194" t="s">
        <v>479</v>
      </c>
      <c r="D119" s="194" t="s">
        <v>480</v>
      </c>
      <c r="E119" s="195">
        <v>170822.87</v>
      </c>
      <c r="F119" s="195">
        <v>42819.96</v>
      </c>
      <c r="G119" s="214">
        <v>0.75</v>
      </c>
      <c r="H119" s="217">
        <v>24929.25</v>
      </c>
      <c r="I119" s="195">
        <v>4399.28</v>
      </c>
      <c r="J119" s="217">
        <v>2786.44</v>
      </c>
      <c r="K119" s="195">
        <v>0</v>
      </c>
      <c r="L119" s="195">
        <v>0</v>
      </c>
      <c r="M119" s="195">
        <v>10704.99</v>
      </c>
      <c r="N119" s="39"/>
      <c r="O119" s="194" t="s">
        <v>569</v>
      </c>
      <c r="P119" s="194" t="s">
        <v>487</v>
      </c>
      <c r="Q119" s="225">
        <v>42831</v>
      </c>
      <c r="R119" s="194" t="s">
        <v>496</v>
      </c>
      <c r="S119" s="188" t="s">
        <v>575</v>
      </c>
      <c r="T119" s="188"/>
      <c r="U119" s="188"/>
      <c r="V119" s="215"/>
      <c r="W119" s="15"/>
    </row>
    <row r="120" spans="1:23" s="14" customFormat="1" ht="47.25" customHeight="1">
      <c r="A120" s="298"/>
      <c r="B120" s="216" t="s">
        <v>481</v>
      </c>
      <c r="C120" s="194" t="s">
        <v>482</v>
      </c>
      <c r="D120" s="194" t="s">
        <v>483</v>
      </c>
      <c r="E120" s="195">
        <v>202221.44</v>
      </c>
      <c r="F120" s="220">
        <v>201345.35</v>
      </c>
      <c r="G120" s="214">
        <v>0.49999505824197077</v>
      </c>
      <c r="H120" s="217">
        <v>85570.92</v>
      </c>
      <c r="I120" s="195">
        <v>15100.76</v>
      </c>
      <c r="J120" s="217">
        <v>0</v>
      </c>
      <c r="K120" s="195">
        <v>0</v>
      </c>
      <c r="L120" s="195">
        <v>0</v>
      </c>
      <c r="M120" s="220">
        <v>100673.67000000001</v>
      </c>
      <c r="N120" s="39"/>
      <c r="O120" s="194" t="s">
        <v>568</v>
      </c>
      <c r="P120" s="194" t="s">
        <v>488</v>
      </c>
      <c r="Q120" s="225">
        <v>42831</v>
      </c>
      <c r="R120" s="194" t="s">
        <v>496</v>
      </c>
      <c r="S120" s="188" t="s">
        <v>578</v>
      </c>
      <c r="T120" s="188"/>
      <c r="U120" s="188"/>
      <c r="V120" s="215"/>
      <c r="W120" s="15"/>
    </row>
    <row r="121" spans="1:23" s="14" customFormat="1" ht="39.75" customHeight="1">
      <c r="A121" s="298"/>
      <c r="B121" s="216" t="s">
        <v>484</v>
      </c>
      <c r="C121" s="194" t="s">
        <v>485</v>
      </c>
      <c r="D121" s="194" t="s">
        <v>486</v>
      </c>
      <c r="E121" s="195">
        <v>278406.3</v>
      </c>
      <c r="F121" s="195">
        <v>274148.71999999997</v>
      </c>
      <c r="G121" s="214">
        <v>0.84999999270468973</v>
      </c>
      <c r="H121" s="217">
        <v>186727.98</v>
      </c>
      <c r="I121" s="195">
        <v>32952</v>
      </c>
      <c r="J121" s="217">
        <v>13346.43</v>
      </c>
      <c r="K121" s="195">
        <v>0</v>
      </c>
      <c r="L121" s="195">
        <v>0</v>
      </c>
      <c r="M121" s="195">
        <v>41122.309999999961</v>
      </c>
      <c r="N121" s="39"/>
      <c r="O121" s="194" t="s">
        <v>568</v>
      </c>
      <c r="P121" s="194" t="s">
        <v>488</v>
      </c>
      <c r="Q121" s="225">
        <v>42831</v>
      </c>
      <c r="R121" s="194" t="s">
        <v>496</v>
      </c>
      <c r="S121" s="188" t="s">
        <v>577</v>
      </c>
      <c r="T121" s="188"/>
      <c r="U121" s="188"/>
      <c r="V121" s="215"/>
      <c r="W121" s="15"/>
    </row>
    <row r="122" spans="1:23" s="14" customFormat="1" ht="39.75" customHeight="1">
      <c r="A122" s="298"/>
      <c r="B122" s="216" t="s">
        <v>448</v>
      </c>
      <c r="C122" s="194" t="s">
        <v>449</v>
      </c>
      <c r="D122" s="194" t="s">
        <v>450</v>
      </c>
      <c r="E122" s="195">
        <v>35158.300000000003</v>
      </c>
      <c r="F122" s="195">
        <f t="shared" ref="F122:F128" si="17">SUM(H122:M122)</f>
        <v>30714.5</v>
      </c>
      <c r="G122" s="214">
        <f t="shared" ref="G122:G151" si="18">(H122+I122+J122+K122+L122)/F122</f>
        <v>0.5</v>
      </c>
      <c r="H122" s="217">
        <v>13053.66</v>
      </c>
      <c r="I122" s="195">
        <v>0</v>
      </c>
      <c r="J122" s="217">
        <v>2303.59</v>
      </c>
      <c r="K122" s="195">
        <v>0</v>
      </c>
      <c r="L122" s="195">
        <v>0</v>
      </c>
      <c r="M122" s="195">
        <v>15357.25</v>
      </c>
      <c r="N122" s="39"/>
      <c r="O122" s="194" t="s">
        <v>451</v>
      </c>
      <c r="P122" s="194" t="s">
        <v>452</v>
      </c>
      <c r="Q122" s="194"/>
      <c r="R122" s="194" t="s">
        <v>502</v>
      </c>
      <c r="S122" s="194" t="s">
        <v>518</v>
      </c>
      <c r="T122" s="188"/>
      <c r="U122" s="188"/>
      <c r="V122" s="215"/>
      <c r="W122" s="15"/>
    </row>
    <row r="123" spans="1:23" s="14" customFormat="1" ht="39.75" customHeight="1">
      <c r="A123" s="298"/>
      <c r="B123" s="216" t="s">
        <v>453</v>
      </c>
      <c r="C123" s="194" t="s">
        <v>454</v>
      </c>
      <c r="D123" s="194" t="s">
        <v>450</v>
      </c>
      <c r="E123" s="195">
        <v>80743.100000000006</v>
      </c>
      <c r="F123" s="195">
        <f t="shared" si="17"/>
        <v>80743.099999999991</v>
      </c>
      <c r="G123" s="214">
        <f t="shared" si="18"/>
        <v>0.57558354831558356</v>
      </c>
      <c r="H123" s="217">
        <v>39503.24</v>
      </c>
      <c r="I123" s="195">
        <v>0</v>
      </c>
      <c r="J123" s="217">
        <v>6971.16</v>
      </c>
      <c r="K123" s="195">
        <v>0</v>
      </c>
      <c r="L123" s="195">
        <v>0</v>
      </c>
      <c r="M123" s="195">
        <v>34268.699999999997</v>
      </c>
      <c r="N123" s="39"/>
      <c r="O123" s="194" t="s">
        <v>451</v>
      </c>
      <c r="P123" s="194" t="s">
        <v>452</v>
      </c>
      <c r="Q123" s="194"/>
      <c r="R123" s="194" t="s">
        <v>489</v>
      </c>
      <c r="S123" s="194" t="s">
        <v>564</v>
      </c>
      <c r="T123" s="188"/>
      <c r="U123" s="188"/>
      <c r="V123" s="215"/>
      <c r="W123" s="15"/>
    </row>
    <row r="124" spans="1:23" s="14" customFormat="1" ht="39.75" customHeight="1">
      <c r="A124" s="298"/>
      <c r="B124" s="216" t="s">
        <v>455</v>
      </c>
      <c r="C124" s="194" t="s">
        <v>456</v>
      </c>
      <c r="D124" s="194" t="s">
        <v>457</v>
      </c>
      <c r="E124" s="195">
        <v>74041.55</v>
      </c>
      <c r="F124" s="195">
        <f t="shared" si="17"/>
        <v>74041.549999999988</v>
      </c>
      <c r="G124" s="214">
        <f t="shared" si="18"/>
        <v>0.50000006752965065</v>
      </c>
      <c r="H124" s="217">
        <v>31467.66</v>
      </c>
      <c r="I124" s="195">
        <v>0</v>
      </c>
      <c r="J124" s="217">
        <v>5553.12</v>
      </c>
      <c r="K124" s="195">
        <v>0</v>
      </c>
      <c r="L124" s="195">
        <v>0</v>
      </c>
      <c r="M124" s="195">
        <v>37020.769999999997</v>
      </c>
      <c r="N124" s="39"/>
      <c r="O124" s="194" t="s">
        <v>451</v>
      </c>
      <c r="P124" s="194" t="s">
        <v>452</v>
      </c>
      <c r="Q124" s="194"/>
      <c r="R124" s="194" t="s">
        <v>502</v>
      </c>
      <c r="S124" s="194" t="s">
        <v>519</v>
      </c>
      <c r="T124" s="188"/>
      <c r="U124" s="188"/>
      <c r="V124" s="215"/>
      <c r="W124" s="15"/>
    </row>
    <row r="125" spans="1:23" s="14" customFormat="1" ht="39.75" customHeight="1">
      <c r="A125" s="298"/>
      <c r="B125" s="216" t="s">
        <v>458</v>
      </c>
      <c r="C125" s="194" t="s">
        <v>459</v>
      </c>
      <c r="D125" s="194" t="s">
        <v>460</v>
      </c>
      <c r="E125" s="195">
        <v>58279.8</v>
      </c>
      <c r="F125" s="195">
        <f t="shared" si="17"/>
        <v>58279.8</v>
      </c>
      <c r="G125" s="214">
        <f t="shared" si="18"/>
        <v>0.57395358254489548</v>
      </c>
      <c r="H125" s="217">
        <v>28432.41</v>
      </c>
      <c r="I125" s="195">
        <v>0</v>
      </c>
      <c r="J125" s="217">
        <v>5017.49</v>
      </c>
      <c r="K125" s="195">
        <v>0</v>
      </c>
      <c r="L125" s="195">
        <v>0</v>
      </c>
      <c r="M125" s="195">
        <v>24829.9</v>
      </c>
      <c r="N125" s="39"/>
      <c r="O125" s="194" t="s">
        <v>451</v>
      </c>
      <c r="P125" s="194" t="s">
        <v>452</v>
      </c>
      <c r="Q125" s="194"/>
      <c r="R125" s="194" t="s">
        <v>502</v>
      </c>
      <c r="S125" s="194" t="s">
        <v>565</v>
      </c>
      <c r="T125" s="188"/>
      <c r="U125" s="188"/>
      <c r="V125" s="215"/>
      <c r="W125" s="15"/>
    </row>
    <row r="126" spans="1:23" s="14" customFormat="1" ht="39.75" customHeight="1">
      <c r="A126" s="298"/>
      <c r="B126" s="216" t="s">
        <v>461</v>
      </c>
      <c r="C126" s="194" t="s">
        <v>462</v>
      </c>
      <c r="D126" s="194" t="s">
        <v>407</v>
      </c>
      <c r="E126" s="195">
        <v>66002.25</v>
      </c>
      <c r="F126" s="195">
        <f t="shared" si="17"/>
        <v>66002.25</v>
      </c>
      <c r="G126" s="214">
        <f t="shared" si="18"/>
        <v>0.56757277214034374</v>
      </c>
      <c r="H126" s="217">
        <v>31841.91</v>
      </c>
      <c r="I126" s="195">
        <v>0</v>
      </c>
      <c r="J126" s="217">
        <v>5619.17</v>
      </c>
      <c r="K126" s="195">
        <v>0</v>
      </c>
      <c r="L126" s="195">
        <v>0</v>
      </c>
      <c r="M126" s="195">
        <v>28541.17</v>
      </c>
      <c r="N126" s="39"/>
      <c r="O126" s="194" t="s">
        <v>451</v>
      </c>
      <c r="P126" s="194" t="s">
        <v>452</v>
      </c>
      <c r="Q126" s="194"/>
      <c r="R126" s="194" t="s">
        <v>502</v>
      </c>
      <c r="S126" s="194" t="s">
        <v>566</v>
      </c>
      <c r="T126" s="188"/>
      <c r="U126" s="188"/>
      <c r="V126" s="215"/>
      <c r="W126" s="15"/>
    </row>
    <row r="127" spans="1:23" s="14" customFormat="1" ht="39.75" customHeight="1">
      <c r="A127" s="298"/>
      <c r="B127" s="216" t="s">
        <v>463</v>
      </c>
      <c r="C127" s="194" t="s">
        <v>464</v>
      </c>
      <c r="D127" s="194" t="s">
        <v>97</v>
      </c>
      <c r="E127" s="195">
        <v>28182</v>
      </c>
      <c r="F127" s="195">
        <f t="shared" si="17"/>
        <v>28182</v>
      </c>
      <c r="G127" s="214">
        <f t="shared" si="18"/>
        <v>0.65</v>
      </c>
      <c r="H127" s="217">
        <v>15570.55</v>
      </c>
      <c r="I127" s="195">
        <v>0</v>
      </c>
      <c r="J127" s="217">
        <v>2747.75</v>
      </c>
      <c r="K127" s="195">
        <v>0</v>
      </c>
      <c r="L127" s="195">
        <v>0</v>
      </c>
      <c r="M127" s="195">
        <v>9863.7000000000007</v>
      </c>
      <c r="N127" s="39"/>
      <c r="O127" s="194" t="s">
        <v>451</v>
      </c>
      <c r="P127" s="194" t="s">
        <v>452</v>
      </c>
      <c r="Q127" s="194"/>
      <c r="R127" s="194" t="s">
        <v>502</v>
      </c>
      <c r="S127" s="194" t="s">
        <v>517</v>
      </c>
      <c r="T127" s="188"/>
      <c r="U127" s="188"/>
      <c r="V127" s="215"/>
      <c r="W127" s="15"/>
    </row>
    <row r="128" spans="1:23" s="14" customFormat="1" ht="39.75" customHeight="1">
      <c r="A128" s="298"/>
      <c r="B128" s="216" t="s">
        <v>465</v>
      </c>
      <c r="C128" s="194" t="s">
        <v>466</v>
      </c>
      <c r="D128" s="194" t="s">
        <v>331</v>
      </c>
      <c r="E128" s="195">
        <v>106455</v>
      </c>
      <c r="F128" s="195">
        <f t="shared" si="17"/>
        <v>75725.5</v>
      </c>
      <c r="G128" s="214">
        <f t="shared" si="18"/>
        <v>0.69186641223894196</v>
      </c>
      <c r="H128" s="217">
        <v>44533.14</v>
      </c>
      <c r="I128" s="195">
        <v>0</v>
      </c>
      <c r="J128" s="217">
        <v>7858.79</v>
      </c>
      <c r="K128" s="195">
        <v>0</v>
      </c>
      <c r="L128" s="195">
        <v>0</v>
      </c>
      <c r="M128" s="195">
        <v>23333.57</v>
      </c>
      <c r="N128" s="39"/>
      <c r="O128" s="194" t="s">
        <v>451</v>
      </c>
      <c r="P128" s="194" t="s">
        <v>452</v>
      </c>
      <c r="Q128" s="194"/>
      <c r="R128" s="194" t="s">
        <v>502</v>
      </c>
      <c r="S128" s="194" t="s">
        <v>567</v>
      </c>
      <c r="T128" s="188"/>
      <c r="U128" s="188"/>
      <c r="V128" s="215"/>
      <c r="W128" s="15"/>
    </row>
    <row r="129" spans="1:23" s="14" customFormat="1" ht="39.75" customHeight="1">
      <c r="A129" s="298"/>
      <c r="B129" s="216"/>
      <c r="C129" s="226" t="s">
        <v>467</v>
      </c>
      <c r="D129" s="226" t="s">
        <v>468</v>
      </c>
      <c r="E129" s="220"/>
      <c r="F129" s="220">
        <v>0</v>
      </c>
      <c r="G129" s="221" t="e">
        <f t="shared" si="18"/>
        <v>#DIV/0!</v>
      </c>
      <c r="H129" s="222">
        <v>0</v>
      </c>
      <c r="I129" s="220">
        <v>0</v>
      </c>
      <c r="J129" s="222">
        <v>0</v>
      </c>
      <c r="K129" s="220">
        <v>0</v>
      </c>
      <c r="L129" s="220">
        <v>0</v>
      </c>
      <c r="M129" s="220">
        <v>0</v>
      </c>
      <c r="N129" s="50"/>
      <c r="O129" s="226" t="s">
        <v>451</v>
      </c>
      <c r="P129" s="226"/>
      <c r="Q129" s="194"/>
      <c r="R129" s="194"/>
      <c r="S129" s="188"/>
      <c r="T129" s="188"/>
      <c r="U129" s="188"/>
      <c r="V129" s="215"/>
      <c r="W129" s="15"/>
    </row>
    <row r="130" spans="1:23" s="14" customFormat="1" ht="39.75" customHeight="1">
      <c r="A130" s="298"/>
      <c r="B130" s="216" t="s">
        <v>504</v>
      </c>
      <c r="C130" s="194" t="s">
        <v>505</v>
      </c>
      <c r="D130" s="194" t="s">
        <v>263</v>
      </c>
      <c r="E130" s="195">
        <v>103617.15</v>
      </c>
      <c r="F130" s="195">
        <f t="shared" ref="F130:F154" si="19">SUM(H130:M130)</f>
        <v>47948.36</v>
      </c>
      <c r="G130" s="214">
        <f t="shared" si="18"/>
        <v>0.74999999999999989</v>
      </c>
      <c r="H130" s="217">
        <v>27966.07</v>
      </c>
      <c r="I130" s="195">
        <v>0</v>
      </c>
      <c r="J130" s="217">
        <v>7995.2</v>
      </c>
      <c r="K130" s="195">
        <v>0</v>
      </c>
      <c r="L130" s="195">
        <v>0</v>
      </c>
      <c r="M130" s="195">
        <v>11987.09</v>
      </c>
      <c r="N130" s="39"/>
      <c r="O130" s="194" t="s">
        <v>503</v>
      </c>
      <c r="P130" s="194" t="s">
        <v>520</v>
      </c>
      <c r="Q130" s="194"/>
      <c r="R130" s="194" t="s">
        <v>525</v>
      </c>
      <c r="S130" s="188" t="s">
        <v>623</v>
      </c>
      <c r="T130" s="188"/>
      <c r="U130" s="188"/>
      <c r="V130" s="215"/>
      <c r="W130" s="15"/>
    </row>
    <row r="131" spans="1:23" s="14" customFormat="1" ht="39.75" customHeight="1">
      <c r="A131" s="298"/>
      <c r="B131" s="216" t="s">
        <v>506</v>
      </c>
      <c r="C131" s="194" t="s">
        <v>507</v>
      </c>
      <c r="D131" s="194" t="s">
        <v>508</v>
      </c>
      <c r="E131" s="195">
        <v>10037.01</v>
      </c>
      <c r="F131" s="195">
        <f t="shared" si="19"/>
        <v>3300</v>
      </c>
      <c r="G131" s="214">
        <f t="shared" si="18"/>
        <v>0.65</v>
      </c>
      <c r="H131" s="217">
        <v>1823.25</v>
      </c>
      <c r="I131" s="195">
        <v>0</v>
      </c>
      <c r="J131" s="217">
        <v>321.75</v>
      </c>
      <c r="K131" s="195">
        <v>0</v>
      </c>
      <c r="L131" s="195">
        <v>0</v>
      </c>
      <c r="M131" s="195">
        <v>1155</v>
      </c>
      <c r="N131" s="39"/>
      <c r="O131" s="194" t="s">
        <v>503</v>
      </c>
      <c r="P131" s="194" t="s">
        <v>520</v>
      </c>
      <c r="Q131" s="194"/>
      <c r="R131" s="194" t="s">
        <v>525</v>
      </c>
      <c r="S131" s="188" t="s">
        <v>526</v>
      </c>
      <c r="T131" s="188"/>
      <c r="U131" s="188"/>
      <c r="V131" s="215"/>
      <c r="W131" s="15"/>
    </row>
    <row r="132" spans="1:23" s="14" customFormat="1" ht="39.75" customHeight="1">
      <c r="A132" s="298"/>
      <c r="B132" s="216" t="s">
        <v>509</v>
      </c>
      <c r="C132" s="194" t="s">
        <v>510</v>
      </c>
      <c r="D132" s="194" t="s">
        <v>511</v>
      </c>
      <c r="E132" s="195">
        <v>9100</v>
      </c>
      <c r="F132" s="195">
        <f t="shared" si="19"/>
        <v>6237</v>
      </c>
      <c r="G132" s="214">
        <f t="shared" si="18"/>
        <v>0.65</v>
      </c>
      <c r="H132" s="217">
        <v>3445.94</v>
      </c>
      <c r="I132" s="195">
        <v>0</v>
      </c>
      <c r="J132" s="217">
        <v>608.11</v>
      </c>
      <c r="K132" s="195">
        <v>0</v>
      </c>
      <c r="L132" s="195">
        <v>0</v>
      </c>
      <c r="M132" s="195">
        <v>2182.9499999999998</v>
      </c>
      <c r="N132" s="39"/>
      <c r="O132" s="194" t="s">
        <v>503</v>
      </c>
      <c r="P132" s="194" t="s">
        <v>520</v>
      </c>
      <c r="Q132" s="194"/>
      <c r="R132" s="194" t="s">
        <v>525</v>
      </c>
      <c r="S132" s="188" t="s">
        <v>527</v>
      </c>
      <c r="T132" s="188"/>
      <c r="U132" s="188"/>
      <c r="V132" s="215"/>
      <c r="W132" s="15"/>
    </row>
    <row r="133" spans="1:23" s="14" customFormat="1" ht="39.75" customHeight="1">
      <c r="A133" s="298"/>
      <c r="B133" s="216" t="s">
        <v>512</v>
      </c>
      <c r="C133" s="194" t="s">
        <v>513</v>
      </c>
      <c r="D133" s="194" t="s">
        <v>514</v>
      </c>
      <c r="E133" s="195">
        <v>50990</v>
      </c>
      <c r="F133" s="195">
        <f t="shared" si="19"/>
        <v>50990</v>
      </c>
      <c r="G133" s="214">
        <f t="shared" si="18"/>
        <v>0.75</v>
      </c>
      <c r="H133" s="217">
        <v>28822.09</v>
      </c>
      <c r="I133" s="195">
        <v>0</v>
      </c>
      <c r="J133" s="217">
        <v>9420.41</v>
      </c>
      <c r="K133" s="195">
        <v>0</v>
      </c>
      <c r="L133" s="195">
        <v>0</v>
      </c>
      <c r="M133" s="195">
        <v>12747.5</v>
      </c>
      <c r="N133" s="39"/>
      <c r="O133" s="194" t="s">
        <v>503</v>
      </c>
      <c r="P133" s="194" t="s">
        <v>520</v>
      </c>
      <c r="Q133" s="194"/>
      <c r="R133" s="194" t="s">
        <v>525</v>
      </c>
      <c r="S133" s="188" t="s">
        <v>528</v>
      </c>
      <c r="T133" s="188"/>
      <c r="U133" s="188"/>
      <c r="V133" s="215"/>
      <c r="W133" s="15"/>
    </row>
    <row r="134" spans="1:23" s="14" customFormat="1" ht="39.75" customHeight="1">
      <c r="A134" s="298"/>
      <c r="B134" s="362" t="s">
        <v>642</v>
      </c>
      <c r="C134" s="340" t="s">
        <v>522</v>
      </c>
      <c r="D134" s="340" t="s">
        <v>523</v>
      </c>
      <c r="E134" s="363">
        <v>173700</v>
      </c>
      <c r="F134" s="364">
        <f t="shared" si="19"/>
        <v>126511.9</v>
      </c>
      <c r="G134" s="365">
        <f t="shared" si="18"/>
        <v>0.7500000395219738</v>
      </c>
      <c r="H134" s="366">
        <v>80651.34</v>
      </c>
      <c r="I134" s="364">
        <v>0</v>
      </c>
      <c r="J134" s="366">
        <v>14232.59</v>
      </c>
      <c r="K134" s="364">
        <v>0</v>
      </c>
      <c r="L134" s="364">
        <v>0</v>
      </c>
      <c r="M134" s="364">
        <v>31627.97</v>
      </c>
      <c r="N134" s="339"/>
      <c r="O134" s="340" t="s">
        <v>524</v>
      </c>
      <c r="P134" s="341" t="s">
        <v>708</v>
      </c>
      <c r="Q134" s="342" t="s">
        <v>703</v>
      </c>
      <c r="R134" s="228">
        <v>42937</v>
      </c>
      <c r="S134" s="188" t="s">
        <v>632</v>
      </c>
      <c r="T134" s="188"/>
      <c r="U134" s="188"/>
      <c r="V134" s="215"/>
      <c r="W134" s="15"/>
    </row>
    <row r="135" spans="1:23" s="14" customFormat="1" ht="39.75" customHeight="1">
      <c r="A135" s="298"/>
      <c r="B135" s="362" t="s">
        <v>529</v>
      </c>
      <c r="C135" s="340" t="s">
        <v>530</v>
      </c>
      <c r="D135" s="340" t="s">
        <v>200</v>
      </c>
      <c r="E135" s="363">
        <v>164415.65</v>
      </c>
      <c r="F135" s="364">
        <f t="shared" si="19"/>
        <v>137685.65000000002</v>
      </c>
      <c r="G135" s="365">
        <f t="shared" si="18"/>
        <v>0.5859959262276061</v>
      </c>
      <c r="H135" s="366">
        <v>68580.740000000005</v>
      </c>
      <c r="I135" s="364">
        <v>0</v>
      </c>
      <c r="J135" s="366">
        <v>12102.49</v>
      </c>
      <c r="K135" s="364">
        <v>0</v>
      </c>
      <c r="L135" s="364">
        <v>0</v>
      </c>
      <c r="M135" s="364">
        <v>57002.42</v>
      </c>
      <c r="N135" s="339"/>
      <c r="O135" s="340" t="s">
        <v>524</v>
      </c>
      <c r="P135" s="341" t="s">
        <v>708</v>
      </c>
      <c r="Q135" s="342" t="s">
        <v>703</v>
      </c>
      <c r="R135" s="228">
        <v>42937</v>
      </c>
      <c r="S135" s="188" t="s">
        <v>633</v>
      </c>
      <c r="T135" s="188"/>
      <c r="U135" s="188"/>
      <c r="V135" s="215"/>
      <c r="W135" s="15"/>
    </row>
    <row r="136" spans="1:23" s="14" customFormat="1" ht="39.75" customHeight="1">
      <c r="A136" s="298"/>
      <c r="B136" s="216" t="s">
        <v>531</v>
      </c>
      <c r="C136" s="194" t="s">
        <v>532</v>
      </c>
      <c r="D136" s="194" t="s">
        <v>533</v>
      </c>
      <c r="E136" s="195">
        <v>145500</v>
      </c>
      <c r="F136" s="195">
        <f t="shared" si="19"/>
        <v>81000</v>
      </c>
      <c r="G136" s="214">
        <f t="shared" si="18"/>
        <v>0.75</v>
      </c>
      <c r="H136" s="217">
        <v>47158</v>
      </c>
      <c r="I136" s="195">
        <v>8322</v>
      </c>
      <c r="J136" s="217">
        <v>5270</v>
      </c>
      <c r="K136" s="195">
        <v>0</v>
      </c>
      <c r="L136" s="195">
        <v>0</v>
      </c>
      <c r="M136" s="195">
        <v>20250</v>
      </c>
      <c r="N136" s="39"/>
      <c r="O136" s="194" t="s">
        <v>524</v>
      </c>
      <c r="P136" s="228">
        <v>42920</v>
      </c>
      <c r="Q136" s="194"/>
      <c r="R136" s="228">
        <v>42937</v>
      </c>
      <c r="S136" s="188" t="s">
        <v>634</v>
      </c>
      <c r="T136" s="188"/>
      <c r="U136" s="188"/>
      <c r="V136" s="215"/>
      <c r="W136" s="15"/>
    </row>
    <row r="137" spans="1:23" s="14" customFormat="1" ht="48" customHeight="1">
      <c r="A137" s="298"/>
      <c r="B137" s="216" t="s">
        <v>534</v>
      </c>
      <c r="C137" s="194" t="s">
        <v>535</v>
      </c>
      <c r="D137" s="194" t="s">
        <v>536</v>
      </c>
      <c r="E137" s="195">
        <v>67900</v>
      </c>
      <c r="F137" s="195">
        <f t="shared" si="19"/>
        <v>37200</v>
      </c>
      <c r="G137" s="214">
        <f t="shared" si="18"/>
        <v>0.67016129032258065</v>
      </c>
      <c r="H137" s="217">
        <v>21190.5</v>
      </c>
      <c r="I137" s="195">
        <v>0</v>
      </c>
      <c r="J137" s="217">
        <v>3739.5</v>
      </c>
      <c r="K137" s="195">
        <v>0</v>
      </c>
      <c r="L137" s="195">
        <v>0</v>
      </c>
      <c r="M137" s="195">
        <v>12270</v>
      </c>
      <c r="N137" s="39"/>
      <c r="O137" s="194" t="s">
        <v>524</v>
      </c>
      <c r="P137" s="229">
        <v>42920</v>
      </c>
      <c r="Q137" s="194"/>
      <c r="R137" s="228">
        <v>42937</v>
      </c>
      <c r="S137" s="188" t="s">
        <v>635</v>
      </c>
      <c r="T137" s="188"/>
      <c r="U137" s="188"/>
      <c r="V137" s="215"/>
      <c r="W137" s="15"/>
    </row>
    <row r="138" spans="1:23" s="14" customFormat="1" ht="48" customHeight="1">
      <c r="A138" s="298"/>
      <c r="B138" s="216" t="s">
        <v>600</v>
      </c>
      <c r="C138" s="194" t="s">
        <v>580</v>
      </c>
      <c r="D138" s="113" t="s">
        <v>581</v>
      </c>
      <c r="E138" s="195">
        <v>525138.97</v>
      </c>
      <c r="F138" s="195">
        <f t="shared" si="19"/>
        <v>494541.07</v>
      </c>
      <c r="G138" s="214">
        <v>0.75</v>
      </c>
      <c r="H138" s="217">
        <v>304430.43</v>
      </c>
      <c r="I138" s="195">
        <v>53723.02</v>
      </c>
      <c r="J138" s="217">
        <v>12752.35</v>
      </c>
      <c r="K138" s="195">
        <v>0</v>
      </c>
      <c r="L138" s="195">
        <v>0</v>
      </c>
      <c r="M138" s="195">
        <v>123635.27</v>
      </c>
      <c r="N138" s="39"/>
      <c r="O138" s="194" t="s">
        <v>524</v>
      </c>
      <c r="P138" s="194" t="s">
        <v>585</v>
      </c>
      <c r="Q138" s="194" t="s">
        <v>602</v>
      </c>
      <c r="R138" s="228">
        <v>42958</v>
      </c>
      <c r="S138" s="188" t="s">
        <v>639</v>
      </c>
      <c r="T138" s="188"/>
      <c r="U138" s="188"/>
      <c r="V138" s="215"/>
      <c r="W138" s="15"/>
    </row>
    <row r="139" spans="1:23" s="14" customFormat="1" ht="48" customHeight="1">
      <c r="A139" s="298"/>
      <c r="B139" s="216" t="s">
        <v>582</v>
      </c>
      <c r="C139" s="194" t="s">
        <v>583</v>
      </c>
      <c r="D139" s="194" t="s">
        <v>584</v>
      </c>
      <c r="E139" s="195">
        <v>253756.06</v>
      </c>
      <c r="F139" s="195">
        <f t="shared" si="19"/>
        <v>215670.15</v>
      </c>
      <c r="G139" s="214">
        <v>0.75</v>
      </c>
      <c r="H139" s="217">
        <v>127888.62</v>
      </c>
      <c r="I139" s="195">
        <v>0</v>
      </c>
      <c r="J139" s="217">
        <v>33863.99</v>
      </c>
      <c r="K139" s="195">
        <v>0</v>
      </c>
      <c r="L139" s="195">
        <v>0</v>
      </c>
      <c r="M139" s="195">
        <v>53917.54</v>
      </c>
      <c r="N139" s="39"/>
      <c r="O139" s="194" t="s">
        <v>524</v>
      </c>
      <c r="P139" s="194" t="s">
        <v>585</v>
      </c>
      <c r="Q139" s="194" t="s">
        <v>602</v>
      </c>
      <c r="R139" s="228">
        <v>42958</v>
      </c>
      <c r="S139" s="188" t="s">
        <v>640</v>
      </c>
      <c r="T139" s="188"/>
      <c r="U139" s="188"/>
      <c r="V139" s="215"/>
      <c r="W139" s="15"/>
    </row>
    <row r="140" spans="1:23" s="14" customFormat="1" ht="48" customHeight="1">
      <c r="A140" s="298"/>
      <c r="B140" s="216" t="s">
        <v>587</v>
      </c>
      <c r="C140" s="194" t="s">
        <v>588</v>
      </c>
      <c r="D140" s="194" t="s">
        <v>123</v>
      </c>
      <c r="E140" s="195">
        <v>269143</v>
      </c>
      <c r="F140" s="195">
        <f t="shared" si="19"/>
        <v>242385.78</v>
      </c>
      <c r="G140" s="214">
        <v>0.74</v>
      </c>
      <c r="H140" s="217">
        <v>136957.37</v>
      </c>
      <c r="I140" s="195">
        <v>24168.95</v>
      </c>
      <c r="J140" s="217">
        <v>19411.490000000002</v>
      </c>
      <c r="K140" s="195">
        <v>0</v>
      </c>
      <c r="L140" s="195">
        <v>0</v>
      </c>
      <c r="M140" s="195">
        <v>61847.97</v>
      </c>
      <c r="N140" s="39"/>
      <c r="O140" s="194" t="s">
        <v>524</v>
      </c>
      <c r="P140" s="194" t="s">
        <v>585</v>
      </c>
      <c r="Q140" s="194" t="s">
        <v>602</v>
      </c>
      <c r="R140" s="228">
        <v>42958</v>
      </c>
      <c r="S140" s="188" t="s">
        <v>641</v>
      </c>
      <c r="T140" s="188"/>
      <c r="U140" s="188"/>
      <c r="V140" s="215"/>
      <c r="W140" s="15"/>
    </row>
    <row r="141" spans="1:23" s="14" customFormat="1" ht="48" customHeight="1">
      <c r="A141" s="298"/>
      <c r="B141" s="216" t="s">
        <v>589</v>
      </c>
      <c r="C141" s="194" t="s">
        <v>590</v>
      </c>
      <c r="D141" s="194" t="s">
        <v>591</v>
      </c>
      <c r="E141" s="195">
        <v>287785.33</v>
      </c>
      <c r="F141" s="195">
        <f t="shared" si="19"/>
        <v>237165.5</v>
      </c>
      <c r="G141" s="214">
        <f t="shared" ref="G141:G142" si="20">(H141+I141+J141+K141)/F141</f>
        <v>0.75000002108232444</v>
      </c>
      <c r="H141" s="217">
        <v>143382.46</v>
      </c>
      <c r="I141" s="195">
        <v>0</v>
      </c>
      <c r="J141" s="217">
        <v>34491.67</v>
      </c>
      <c r="K141" s="195">
        <v>0</v>
      </c>
      <c r="L141" s="195">
        <v>0</v>
      </c>
      <c r="M141" s="195">
        <v>59291.37</v>
      </c>
      <c r="N141" s="39"/>
      <c r="O141" s="194" t="s">
        <v>524</v>
      </c>
      <c r="P141" s="194" t="s">
        <v>585</v>
      </c>
      <c r="Q141" s="194" t="s">
        <v>602</v>
      </c>
      <c r="R141" s="228">
        <v>42958</v>
      </c>
      <c r="S141" s="188" t="s">
        <v>636</v>
      </c>
      <c r="T141" s="188"/>
      <c r="U141" s="188"/>
      <c r="V141" s="215"/>
      <c r="W141" s="15"/>
    </row>
    <row r="142" spans="1:23" s="14" customFormat="1" ht="48" customHeight="1">
      <c r="A142" s="298"/>
      <c r="B142" s="216" t="s">
        <v>592</v>
      </c>
      <c r="C142" s="194" t="s">
        <v>593</v>
      </c>
      <c r="D142" s="194" t="s">
        <v>594</v>
      </c>
      <c r="E142" s="195">
        <v>238550</v>
      </c>
      <c r="F142" s="195">
        <f t="shared" si="19"/>
        <v>223811.95</v>
      </c>
      <c r="G142" s="214">
        <f t="shared" si="20"/>
        <v>0.71018978209161765</v>
      </c>
      <c r="H142" s="217">
        <v>133629.1</v>
      </c>
      <c r="I142" s="195">
        <v>0</v>
      </c>
      <c r="J142" s="217">
        <v>25319.86</v>
      </c>
      <c r="K142" s="195">
        <v>0</v>
      </c>
      <c r="L142" s="195">
        <v>0</v>
      </c>
      <c r="M142" s="195">
        <v>64862.99</v>
      </c>
      <c r="N142" s="39"/>
      <c r="O142" s="194" t="s">
        <v>524</v>
      </c>
      <c r="P142" s="194" t="s">
        <v>585</v>
      </c>
      <c r="Q142" s="194" t="s">
        <v>602</v>
      </c>
      <c r="R142" s="228">
        <v>42958</v>
      </c>
      <c r="S142" s="188" t="s">
        <v>637</v>
      </c>
      <c r="T142" s="188"/>
      <c r="U142" s="188"/>
      <c r="V142" s="215"/>
      <c r="W142" s="15"/>
    </row>
    <row r="143" spans="1:23" s="14" customFormat="1" ht="48" customHeight="1">
      <c r="A143" s="298"/>
      <c r="B143" s="216" t="s">
        <v>597</v>
      </c>
      <c r="C143" s="194" t="s">
        <v>598</v>
      </c>
      <c r="D143" s="194" t="s">
        <v>599</v>
      </c>
      <c r="E143" s="195">
        <v>467835.49</v>
      </c>
      <c r="F143" s="195">
        <f t="shared" si="19"/>
        <v>430080.82</v>
      </c>
      <c r="G143" s="214">
        <v>0.75</v>
      </c>
      <c r="H143" s="217">
        <v>243103.19</v>
      </c>
      <c r="I143" s="195">
        <v>42900.57</v>
      </c>
      <c r="J143" s="217">
        <v>36556.86</v>
      </c>
      <c r="K143" s="195">
        <v>0</v>
      </c>
      <c r="L143" s="195">
        <v>0</v>
      </c>
      <c r="M143" s="195">
        <v>107520.2</v>
      </c>
      <c r="N143" s="39"/>
      <c r="O143" s="194" t="s">
        <v>524</v>
      </c>
      <c r="P143" s="194" t="s">
        <v>585</v>
      </c>
      <c r="Q143" s="194" t="s">
        <v>602</v>
      </c>
      <c r="R143" s="228">
        <v>42958</v>
      </c>
      <c r="S143" s="188" t="s">
        <v>641</v>
      </c>
      <c r="T143" s="188"/>
      <c r="U143" s="188"/>
      <c r="V143" s="215"/>
      <c r="W143" s="15"/>
    </row>
    <row r="144" spans="1:23" s="14" customFormat="1" ht="48" customHeight="1">
      <c r="A144" s="298"/>
      <c r="B144" s="216" t="s">
        <v>595</v>
      </c>
      <c r="C144" s="194" t="s">
        <v>596</v>
      </c>
      <c r="D144" s="194" t="s">
        <v>200</v>
      </c>
      <c r="E144" s="195">
        <v>178206.15</v>
      </c>
      <c r="F144" s="195">
        <f t="shared" si="19"/>
        <v>171208.40000000002</v>
      </c>
      <c r="G144" s="214">
        <f t="shared" ref="G144" si="21">(H144+I144+J144+K144)/F144</f>
        <v>0.54761010557893186</v>
      </c>
      <c r="H144" s="217">
        <v>79692.13</v>
      </c>
      <c r="I144" s="195">
        <v>14063.32</v>
      </c>
      <c r="J144" s="217">
        <v>0</v>
      </c>
      <c r="K144" s="195">
        <v>0</v>
      </c>
      <c r="L144" s="195">
        <v>0</v>
      </c>
      <c r="M144" s="195">
        <v>77452.95</v>
      </c>
      <c r="N144" s="39"/>
      <c r="O144" s="194" t="s">
        <v>524</v>
      </c>
      <c r="P144" s="194" t="s">
        <v>585</v>
      </c>
      <c r="Q144" s="194" t="s">
        <v>602</v>
      </c>
      <c r="R144" s="228">
        <v>42958</v>
      </c>
      <c r="S144" s="188" t="s">
        <v>638</v>
      </c>
      <c r="T144" s="188"/>
      <c r="U144" s="188"/>
      <c r="V144" s="215"/>
      <c r="W144" s="15"/>
    </row>
    <row r="145" spans="1:23" s="14" customFormat="1" ht="48" customHeight="1">
      <c r="A145" s="298"/>
      <c r="B145" s="216" t="s">
        <v>603</v>
      </c>
      <c r="C145" s="194" t="s">
        <v>604</v>
      </c>
      <c r="D145" s="194" t="s">
        <v>605</v>
      </c>
      <c r="E145" s="195">
        <v>50990</v>
      </c>
      <c r="F145" s="195">
        <f t="shared" si="19"/>
        <v>50990</v>
      </c>
      <c r="G145" s="214">
        <f t="shared" ref="G145:G150" si="22">(H145+I145+J145+K145+L145)/F145</f>
        <v>0.75</v>
      </c>
      <c r="H145" s="217">
        <v>28822.09</v>
      </c>
      <c r="I145" s="195">
        <v>5086.26</v>
      </c>
      <c r="J145" s="217">
        <v>4334.1499999999996</v>
      </c>
      <c r="K145" s="195">
        <v>0</v>
      </c>
      <c r="L145" s="195">
        <v>0</v>
      </c>
      <c r="M145" s="195">
        <v>12747.5</v>
      </c>
      <c r="N145" s="39"/>
      <c r="O145" s="194" t="s">
        <v>606</v>
      </c>
      <c r="P145" s="228">
        <v>42947</v>
      </c>
      <c r="Q145" s="194"/>
      <c r="R145" s="228">
        <v>42958</v>
      </c>
      <c r="S145" s="188" t="s">
        <v>631</v>
      </c>
      <c r="T145" s="188"/>
      <c r="U145" s="188"/>
      <c r="V145" s="215"/>
      <c r="W145" s="15"/>
    </row>
    <row r="146" spans="1:23" s="14" customFormat="1" ht="48" customHeight="1">
      <c r="A146" s="298"/>
      <c r="B146" s="216" t="s">
        <v>607</v>
      </c>
      <c r="C146" s="194" t="s">
        <v>608</v>
      </c>
      <c r="D146" s="194" t="s">
        <v>609</v>
      </c>
      <c r="E146" s="195">
        <v>104075</v>
      </c>
      <c r="F146" s="195">
        <f t="shared" si="19"/>
        <v>68275</v>
      </c>
      <c r="G146" s="214">
        <f t="shared" si="22"/>
        <v>0.69320761625778105</v>
      </c>
      <c r="H146" s="217">
        <v>40229.43</v>
      </c>
      <c r="I146" s="195">
        <v>0</v>
      </c>
      <c r="J146" s="217">
        <v>7099.32</v>
      </c>
      <c r="K146" s="195">
        <v>0</v>
      </c>
      <c r="L146" s="195">
        <v>0</v>
      </c>
      <c r="M146" s="195">
        <v>20946.25</v>
      </c>
      <c r="N146" s="39"/>
      <c r="O146" s="194" t="s">
        <v>606</v>
      </c>
      <c r="P146" s="228">
        <v>42947</v>
      </c>
      <c r="Q146" s="194"/>
      <c r="R146" s="228">
        <v>42958</v>
      </c>
      <c r="S146" s="188" t="s">
        <v>624</v>
      </c>
      <c r="T146" s="188"/>
      <c r="U146" s="188"/>
      <c r="V146" s="215"/>
      <c r="W146" s="15"/>
    </row>
    <row r="147" spans="1:23" s="14" customFormat="1" ht="48" customHeight="1">
      <c r="A147" s="298"/>
      <c r="B147" s="362" t="s">
        <v>610</v>
      </c>
      <c r="C147" s="340" t="s">
        <v>611</v>
      </c>
      <c r="D147" s="340" t="s">
        <v>612</v>
      </c>
      <c r="E147" s="363">
        <v>200500</v>
      </c>
      <c r="F147" s="364">
        <f t="shared" si="19"/>
        <v>92500</v>
      </c>
      <c r="G147" s="365">
        <f t="shared" si="22"/>
        <v>0.75</v>
      </c>
      <c r="H147" s="366">
        <v>52286.05</v>
      </c>
      <c r="I147" s="364">
        <v>9226.9500000000007</v>
      </c>
      <c r="J147" s="366">
        <v>7862</v>
      </c>
      <c r="K147" s="364">
        <v>0</v>
      </c>
      <c r="L147" s="364">
        <v>0</v>
      </c>
      <c r="M147" s="364">
        <v>23125</v>
      </c>
      <c r="N147" s="339"/>
      <c r="O147" s="340" t="s">
        <v>606</v>
      </c>
      <c r="P147" s="341" t="s">
        <v>706</v>
      </c>
      <c r="Q147" s="342" t="s">
        <v>703</v>
      </c>
      <c r="R147" s="228">
        <v>42958</v>
      </c>
      <c r="S147" s="188" t="s">
        <v>625</v>
      </c>
      <c r="T147" s="188"/>
      <c r="U147" s="188"/>
      <c r="V147" s="215"/>
      <c r="W147" s="15"/>
    </row>
    <row r="148" spans="1:23" s="14" customFormat="1" ht="48" customHeight="1">
      <c r="A148" s="298"/>
      <c r="B148" s="216" t="s">
        <v>613</v>
      </c>
      <c r="C148" s="194" t="s">
        <v>614</v>
      </c>
      <c r="D148" s="194" t="s">
        <v>257</v>
      </c>
      <c r="E148" s="195">
        <v>76524.850000000006</v>
      </c>
      <c r="F148" s="195">
        <f t="shared" si="19"/>
        <v>51495.8</v>
      </c>
      <c r="G148" s="214">
        <f t="shared" si="22"/>
        <v>0.49999999999999994</v>
      </c>
      <c r="H148" s="217">
        <v>21885.71</v>
      </c>
      <c r="I148" s="195">
        <v>3862.19</v>
      </c>
      <c r="J148" s="217">
        <v>0</v>
      </c>
      <c r="K148" s="195">
        <v>0</v>
      </c>
      <c r="L148" s="195">
        <v>0</v>
      </c>
      <c r="M148" s="195">
        <v>25747.9</v>
      </c>
      <c r="N148" s="39"/>
      <c r="O148" s="194" t="s">
        <v>606</v>
      </c>
      <c r="P148" s="228">
        <v>42947</v>
      </c>
      <c r="Q148" s="194"/>
      <c r="R148" s="228">
        <v>42958</v>
      </c>
      <c r="S148" s="188" t="s">
        <v>626</v>
      </c>
      <c r="T148" s="188"/>
      <c r="U148" s="188"/>
      <c r="V148" s="215"/>
      <c r="W148" s="15"/>
    </row>
    <row r="149" spans="1:23" s="14" customFormat="1" ht="48" customHeight="1">
      <c r="A149" s="298"/>
      <c r="B149" s="362" t="s">
        <v>615</v>
      </c>
      <c r="C149" s="340" t="s">
        <v>616</v>
      </c>
      <c r="D149" s="340" t="s">
        <v>617</v>
      </c>
      <c r="E149" s="363">
        <v>156867.41</v>
      </c>
      <c r="F149" s="364">
        <v>139833.29</v>
      </c>
      <c r="G149" s="365">
        <f t="shared" si="22"/>
        <v>0.72151538449821206</v>
      </c>
      <c r="H149" s="366">
        <v>80962.05</v>
      </c>
      <c r="I149" s="364">
        <v>0</v>
      </c>
      <c r="J149" s="366">
        <v>19929.82</v>
      </c>
      <c r="K149" s="364">
        <v>0</v>
      </c>
      <c r="L149" s="364">
        <v>0</v>
      </c>
      <c r="M149" s="364">
        <v>38941.42</v>
      </c>
      <c r="N149" s="339"/>
      <c r="O149" s="340" t="s">
        <v>705</v>
      </c>
      <c r="P149" s="341" t="s">
        <v>707</v>
      </c>
      <c r="Q149" s="342" t="s">
        <v>703</v>
      </c>
      <c r="R149" s="228">
        <v>42958</v>
      </c>
      <c r="S149" s="188" t="s">
        <v>627</v>
      </c>
      <c r="T149" s="188"/>
      <c r="U149" s="188"/>
      <c r="V149" s="215"/>
      <c r="W149" s="15"/>
    </row>
    <row r="150" spans="1:23" s="14" customFormat="1" ht="48" customHeight="1">
      <c r="A150" s="298"/>
      <c r="B150" s="216" t="s">
        <v>618</v>
      </c>
      <c r="C150" s="194" t="s">
        <v>619</v>
      </c>
      <c r="D150" s="194" t="s">
        <v>620</v>
      </c>
      <c r="E150" s="195">
        <v>121706.5</v>
      </c>
      <c r="F150" s="195">
        <f>SUM(H150:M150)</f>
        <v>107506.50000000001</v>
      </c>
      <c r="G150" s="214">
        <f t="shared" si="22"/>
        <v>0.84102105454088816</v>
      </c>
      <c r="H150" s="217">
        <v>70631.490000000005</v>
      </c>
      <c r="I150" s="195">
        <v>12464.39</v>
      </c>
      <c r="J150" s="217">
        <v>7319.35</v>
      </c>
      <c r="K150" s="195">
        <v>0</v>
      </c>
      <c r="L150" s="195">
        <v>0</v>
      </c>
      <c r="M150" s="195">
        <v>17091.27</v>
      </c>
      <c r="N150" s="39"/>
      <c r="O150" s="194" t="s">
        <v>606</v>
      </c>
      <c r="P150" s="228">
        <v>42947</v>
      </c>
      <c r="Q150" s="194"/>
      <c r="R150" s="228">
        <v>42958</v>
      </c>
      <c r="S150" s="188" t="s">
        <v>628</v>
      </c>
      <c r="T150" s="188"/>
      <c r="U150" s="188"/>
      <c r="V150" s="215"/>
      <c r="W150" s="15"/>
    </row>
    <row r="151" spans="1:23" s="14" customFormat="1" ht="39.75" customHeight="1">
      <c r="A151" s="298"/>
      <c r="B151" s="216" t="s">
        <v>650</v>
      </c>
      <c r="C151" s="286" t="s">
        <v>651</v>
      </c>
      <c r="D151" s="176" t="s">
        <v>652</v>
      </c>
      <c r="E151" s="195">
        <v>44772</v>
      </c>
      <c r="F151" s="195">
        <f t="shared" si="19"/>
        <v>9755</v>
      </c>
      <c r="G151" s="214">
        <f t="shared" si="18"/>
        <v>0.75</v>
      </c>
      <c r="H151" s="217">
        <v>6218.81</v>
      </c>
      <c r="I151" s="195">
        <v>0</v>
      </c>
      <c r="J151" s="217">
        <v>1097.44</v>
      </c>
      <c r="K151" s="195">
        <v>0</v>
      </c>
      <c r="L151" s="195">
        <v>0</v>
      </c>
      <c r="M151" s="195">
        <v>2438.75</v>
      </c>
      <c r="N151" s="39"/>
      <c r="O151" s="194" t="s">
        <v>701</v>
      </c>
      <c r="P151" s="228">
        <v>42992</v>
      </c>
      <c r="Q151" s="194"/>
      <c r="R151" s="194" t="s">
        <v>702</v>
      </c>
      <c r="S151" s="188"/>
      <c r="T151" s="188"/>
      <c r="U151" s="188"/>
      <c r="V151" s="215"/>
      <c r="W151" s="15"/>
    </row>
    <row r="152" spans="1:23" s="14" customFormat="1" ht="39.75" customHeight="1">
      <c r="A152" s="298"/>
      <c r="B152" s="176" t="s">
        <v>653</v>
      </c>
      <c r="C152" s="176" t="s">
        <v>654</v>
      </c>
      <c r="D152" s="176" t="s">
        <v>655</v>
      </c>
      <c r="E152" s="301">
        <v>132374.82999999999</v>
      </c>
      <c r="F152" s="301">
        <f t="shared" si="19"/>
        <v>41822.49</v>
      </c>
      <c r="G152" s="302">
        <f t="shared" ref="G152:G158" si="23">(H152+I152+J152+K152)/F152</f>
        <v>0.68026270076219753</v>
      </c>
      <c r="H152" s="301">
        <v>23372.48</v>
      </c>
      <c r="I152" s="301">
        <v>0</v>
      </c>
      <c r="J152" s="301">
        <v>5077.8</v>
      </c>
      <c r="K152" s="301">
        <v>0</v>
      </c>
      <c r="L152" s="301">
        <v>0</v>
      </c>
      <c r="M152" s="301">
        <v>13372.21</v>
      </c>
      <c r="N152" s="39"/>
      <c r="O152" s="194" t="s">
        <v>701</v>
      </c>
      <c r="P152" s="228">
        <v>42992</v>
      </c>
      <c r="Q152" s="286"/>
      <c r="R152" s="194" t="s">
        <v>702</v>
      </c>
      <c r="S152" s="299"/>
      <c r="T152" s="299"/>
      <c r="U152" s="299"/>
      <c r="V152" s="300"/>
      <c r="W152" s="15"/>
    </row>
    <row r="153" spans="1:23" s="14" customFormat="1" ht="39.75" customHeight="1">
      <c r="A153" s="298"/>
      <c r="B153" s="176" t="s">
        <v>656</v>
      </c>
      <c r="C153" s="176" t="s">
        <v>657</v>
      </c>
      <c r="D153" s="176" t="s">
        <v>658</v>
      </c>
      <c r="E153" s="287">
        <v>119724</v>
      </c>
      <c r="F153" s="301">
        <f t="shared" si="19"/>
        <v>119724</v>
      </c>
      <c r="G153" s="302">
        <f t="shared" si="23"/>
        <v>0.64999999999999991</v>
      </c>
      <c r="H153" s="301">
        <v>66147.509999999995</v>
      </c>
      <c r="I153" s="301">
        <v>0</v>
      </c>
      <c r="J153" s="301">
        <v>11673.09</v>
      </c>
      <c r="K153" s="301">
        <v>0</v>
      </c>
      <c r="L153" s="301">
        <v>0</v>
      </c>
      <c r="M153" s="301">
        <v>41903.4</v>
      </c>
      <c r="N153" s="39"/>
      <c r="O153" s="194" t="s">
        <v>701</v>
      </c>
      <c r="P153" s="228">
        <v>42992</v>
      </c>
      <c r="Q153" s="286"/>
      <c r="R153" s="194" t="s">
        <v>702</v>
      </c>
      <c r="S153" s="299"/>
      <c r="T153" s="299"/>
      <c r="U153" s="299"/>
      <c r="V153" s="300"/>
      <c r="W153" s="15"/>
    </row>
    <row r="154" spans="1:23" s="14" customFormat="1" ht="39.75" customHeight="1">
      <c r="A154" s="298"/>
      <c r="B154" s="176" t="s">
        <v>659</v>
      </c>
      <c r="C154" s="176" t="s">
        <v>660</v>
      </c>
      <c r="D154" s="176" t="s">
        <v>661</v>
      </c>
      <c r="E154" s="287">
        <v>142494</v>
      </c>
      <c r="F154" s="301">
        <f t="shared" si="19"/>
        <v>69777.509999999995</v>
      </c>
      <c r="G154" s="302">
        <f t="shared" si="23"/>
        <v>0.74999996417183701</v>
      </c>
      <c r="H154" s="301">
        <v>44158.03</v>
      </c>
      <c r="I154" s="301">
        <v>0</v>
      </c>
      <c r="J154" s="301">
        <v>8175.1</v>
      </c>
      <c r="K154" s="301">
        <v>0</v>
      </c>
      <c r="L154" s="301">
        <v>0</v>
      </c>
      <c r="M154" s="301">
        <v>17444.38</v>
      </c>
      <c r="N154" s="39"/>
      <c r="O154" s="194" t="s">
        <v>701</v>
      </c>
      <c r="P154" s="228">
        <v>42992</v>
      </c>
      <c r="Q154" s="286"/>
      <c r="R154" s="194" t="s">
        <v>702</v>
      </c>
      <c r="S154" s="299"/>
      <c r="T154" s="299"/>
      <c r="U154" s="299"/>
      <c r="V154" s="300"/>
      <c r="W154" s="15"/>
    </row>
    <row r="155" spans="1:23" s="14" customFormat="1" ht="39.75" customHeight="1">
      <c r="A155" s="298"/>
      <c r="B155" s="324" t="s">
        <v>662</v>
      </c>
      <c r="C155" s="286" t="s">
        <v>663</v>
      </c>
      <c r="D155" s="286" t="s">
        <v>664</v>
      </c>
      <c r="E155" s="287">
        <v>127693.9</v>
      </c>
      <c r="F155" s="287">
        <v>118675.6</v>
      </c>
      <c r="G155" s="302">
        <f t="shared" si="23"/>
        <v>0.49999999999999994</v>
      </c>
      <c r="H155" s="287">
        <v>50437.13</v>
      </c>
      <c r="I155" s="287">
        <v>0</v>
      </c>
      <c r="J155" s="287">
        <v>8900.67</v>
      </c>
      <c r="K155" s="287">
        <v>0</v>
      </c>
      <c r="L155" s="287">
        <v>0</v>
      </c>
      <c r="M155" s="287">
        <v>59337.8</v>
      </c>
      <c r="N155" s="39"/>
      <c r="O155" s="194" t="s">
        <v>701</v>
      </c>
      <c r="P155" s="228">
        <v>42992</v>
      </c>
      <c r="Q155" s="286"/>
      <c r="R155" s="194" t="s">
        <v>702</v>
      </c>
      <c r="S155" s="299"/>
      <c r="T155" s="299"/>
      <c r="U155" s="299"/>
      <c r="V155" s="300"/>
      <c r="W155" s="15"/>
    </row>
    <row r="156" spans="1:23" s="27" customFormat="1" ht="39.75" customHeight="1">
      <c r="A156" s="264"/>
      <c r="B156" s="335" t="s">
        <v>678</v>
      </c>
      <c r="C156" s="335" t="s">
        <v>679</v>
      </c>
      <c r="D156" s="335" t="s">
        <v>680</v>
      </c>
      <c r="E156" s="336">
        <v>245236</v>
      </c>
      <c r="F156" s="337">
        <f t="shared" ref="F156:F158" si="24">SUM(H156:M156)</f>
        <v>211934.89999999997</v>
      </c>
      <c r="G156" s="338">
        <f t="shared" si="23"/>
        <v>0.70369240743265982</v>
      </c>
      <c r="H156" s="337">
        <v>118544.89</v>
      </c>
      <c r="I156" s="337">
        <v>0</v>
      </c>
      <c r="J156" s="337">
        <v>20919.689999999999</v>
      </c>
      <c r="K156" s="337">
        <v>9672.4</v>
      </c>
      <c r="L156" s="337">
        <v>0</v>
      </c>
      <c r="M156" s="337">
        <v>62797.919999999998</v>
      </c>
      <c r="N156" s="339"/>
      <c r="O156" s="340" t="s">
        <v>701</v>
      </c>
      <c r="P156" s="341">
        <v>42992</v>
      </c>
      <c r="Q156" s="342" t="s">
        <v>703</v>
      </c>
      <c r="R156" s="343"/>
      <c r="S156" s="350"/>
      <c r="T156" s="350"/>
      <c r="U156" s="350"/>
      <c r="V156" s="176"/>
      <c r="W156" s="351"/>
    </row>
    <row r="157" spans="1:23" s="27" customFormat="1" ht="39.75" customHeight="1">
      <c r="A157" s="264"/>
      <c r="B157" s="335" t="s">
        <v>681</v>
      </c>
      <c r="C157" s="335" t="s">
        <v>682</v>
      </c>
      <c r="D157" s="335" t="s">
        <v>683</v>
      </c>
      <c r="E157" s="336">
        <v>618949.25</v>
      </c>
      <c r="F157" s="337">
        <f>SUM(H157:M157)</f>
        <v>592899.58000000007</v>
      </c>
      <c r="G157" s="338">
        <f t="shared" si="23"/>
        <v>0.70692020055065641</v>
      </c>
      <c r="H157" s="337">
        <v>344760.58</v>
      </c>
      <c r="I157" s="337">
        <v>0</v>
      </c>
      <c r="J157" s="337">
        <v>60840.11</v>
      </c>
      <c r="K157" s="337">
        <v>13532</v>
      </c>
      <c r="L157" s="337">
        <v>0</v>
      </c>
      <c r="M157" s="337">
        <v>173766.89</v>
      </c>
      <c r="N157" s="339"/>
      <c r="O157" s="340" t="s">
        <v>701</v>
      </c>
      <c r="P157" s="341">
        <v>42992</v>
      </c>
      <c r="Q157" s="342" t="s">
        <v>703</v>
      </c>
      <c r="R157" s="343"/>
      <c r="S157" s="350"/>
      <c r="T157" s="350"/>
      <c r="U157" s="350"/>
      <c r="V157" s="176"/>
      <c r="W157" s="351"/>
    </row>
    <row r="158" spans="1:23" s="27" customFormat="1" ht="39.75" customHeight="1">
      <c r="A158" s="264"/>
      <c r="B158" s="335" t="s">
        <v>684</v>
      </c>
      <c r="C158" s="335" t="s">
        <v>685</v>
      </c>
      <c r="D158" s="335" t="s">
        <v>683</v>
      </c>
      <c r="E158" s="336">
        <v>375202.8</v>
      </c>
      <c r="F158" s="337">
        <f t="shared" si="24"/>
        <v>215396.31</v>
      </c>
      <c r="G158" s="338">
        <f t="shared" si="23"/>
        <v>0.74999998839348736</v>
      </c>
      <c r="H158" s="337">
        <v>121752.75</v>
      </c>
      <c r="I158" s="337">
        <v>0</v>
      </c>
      <c r="J158" s="337">
        <v>21485.79</v>
      </c>
      <c r="K158" s="337">
        <v>18308.689999999999</v>
      </c>
      <c r="L158" s="337">
        <v>0</v>
      </c>
      <c r="M158" s="337">
        <v>53849.08</v>
      </c>
      <c r="N158" s="339"/>
      <c r="O158" s="340" t="s">
        <v>701</v>
      </c>
      <c r="P158" s="341">
        <v>42992</v>
      </c>
      <c r="Q158" s="342" t="s">
        <v>703</v>
      </c>
      <c r="R158" s="343"/>
      <c r="S158" s="350"/>
      <c r="T158" s="350"/>
      <c r="U158" s="350"/>
      <c r="V158" s="176"/>
      <c r="W158" s="351"/>
    </row>
    <row r="159" spans="1:23" s="27" customFormat="1" ht="39.75" customHeight="1">
      <c r="A159" s="264"/>
      <c r="B159" s="344" t="s">
        <v>686</v>
      </c>
      <c r="C159" s="335" t="s">
        <v>687</v>
      </c>
      <c r="D159" s="335" t="s">
        <v>688</v>
      </c>
      <c r="E159" s="345">
        <v>221116.99</v>
      </c>
      <c r="F159" s="346">
        <f>SUM(H159:M159)</f>
        <v>203669.47000000003</v>
      </c>
      <c r="G159" s="338">
        <f>(H159+I159+J159+K159)/F159</f>
        <v>0.60360627442100179</v>
      </c>
      <c r="H159" s="346">
        <v>104495.74</v>
      </c>
      <c r="I159" s="346">
        <v>0</v>
      </c>
      <c r="J159" s="346">
        <v>18440.43</v>
      </c>
      <c r="K159" s="346">
        <v>0</v>
      </c>
      <c r="L159" s="347">
        <v>0</v>
      </c>
      <c r="M159" s="347">
        <v>80733.3</v>
      </c>
      <c r="N159" s="339"/>
      <c r="O159" s="340" t="s">
        <v>701</v>
      </c>
      <c r="P159" s="341">
        <v>42992</v>
      </c>
      <c r="Q159" s="342" t="s">
        <v>703</v>
      </c>
      <c r="R159" s="343"/>
      <c r="S159" s="350"/>
      <c r="T159" s="350"/>
      <c r="U159" s="350"/>
      <c r="V159" s="176"/>
      <c r="W159" s="351"/>
    </row>
    <row r="160" spans="1:23" s="27" customFormat="1" ht="39.75" customHeight="1">
      <c r="A160" s="264"/>
      <c r="B160" s="348" t="s">
        <v>689</v>
      </c>
      <c r="C160" s="343" t="s">
        <v>690</v>
      </c>
      <c r="D160" s="343" t="s">
        <v>31</v>
      </c>
      <c r="E160" s="345">
        <v>187668</v>
      </c>
      <c r="F160" s="346">
        <v>102941</v>
      </c>
      <c r="G160" s="338">
        <f>(H160+I160+J160+K160)/F160</f>
        <v>0.75</v>
      </c>
      <c r="H160" s="346">
        <v>64176.27</v>
      </c>
      <c r="I160" s="346">
        <v>0</v>
      </c>
      <c r="J160" s="346">
        <v>11325.23</v>
      </c>
      <c r="K160" s="346">
        <v>1704.25</v>
      </c>
      <c r="L160" s="346">
        <v>0</v>
      </c>
      <c r="M160" s="346">
        <v>25735.25</v>
      </c>
      <c r="N160" s="339"/>
      <c r="O160" s="340" t="s">
        <v>701</v>
      </c>
      <c r="P160" s="341">
        <v>42992</v>
      </c>
      <c r="Q160" s="342" t="s">
        <v>703</v>
      </c>
      <c r="R160" s="343"/>
      <c r="S160" s="350"/>
      <c r="T160" s="350"/>
      <c r="U160" s="350"/>
      <c r="V160" s="176"/>
      <c r="W160" s="351"/>
    </row>
    <row r="161" spans="1:23" s="27" customFormat="1" ht="39.75" customHeight="1">
      <c r="A161" s="264"/>
      <c r="B161" s="335" t="s">
        <v>691</v>
      </c>
      <c r="C161" s="343" t="s">
        <v>692</v>
      </c>
      <c r="D161" s="343" t="s">
        <v>693</v>
      </c>
      <c r="E161" s="336">
        <v>212435</v>
      </c>
      <c r="F161" s="337">
        <f t="shared" ref="F161:F163" si="25">SUM(H161:M161)</f>
        <v>135200</v>
      </c>
      <c r="G161" s="338">
        <f t="shared" ref="G161:G165" si="26">(H161+I161+J161+K161)/F161</f>
        <v>0.75</v>
      </c>
      <c r="H161" s="346">
        <v>82266.820000000007</v>
      </c>
      <c r="I161" s="346">
        <v>0</v>
      </c>
      <c r="J161" s="346">
        <v>14517.68</v>
      </c>
      <c r="K161" s="346">
        <v>4615.5</v>
      </c>
      <c r="L161" s="346">
        <v>0</v>
      </c>
      <c r="M161" s="346">
        <v>33800</v>
      </c>
      <c r="N161" s="339"/>
      <c r="O161" s="343" t="s">
        <v>704</v>
      </c>
      <c r="P161" s="341">
        <v>42992</v>
      </c>
      <c r="Q161" s="342" t="s">
        <v>703</v>
      </c>
      <c r="R161" s="343"/>
      <c r="S161" s="350"/>
      <c r="T161" s="350"/>
      <c r="U161" s="350"/>
      <c r="V161" s="176"/>
      <c r="W161" s="351"/>
    </row>
    <row r="162" spans="1:23" s="27" customFormat="1" ht="39.75" customHeight="1">
      <c r="A162" s="264"/>
      <c r="B162" s="335" t="s">
        <v>613</v>
      </c>
      <c r="C162" s="343" t="s">
        <v>694</v>
      </c>
      <c r="D162" s="343" t="s">
        <v>257</v>
      </c>
      <c r="E162" s="336">
        <v>158953.95000000001</v>
      </c>
      <c r="F162" s="337">
        <f t="shared" si="25"/>
        <v>139653.09999999998</v>
      </c>
      <c r="G162" s="338">
        <f t="shared" si="26"/>
        <v>0.66506794335392483</v>
      </c>
      <c r="H162" s="346">
        <v>78946.98</v>
      </c>
      <c r="I162" s="346">
        <v>0</v>
      </c>
      <c r="J162" s="346">
        <v>13931.82</v>
      </c>
      <c r="K162" s="346">
        <v>0</v>
      </c>
      <c r="L162" s="346">
        <v>0</v>
      </c>
      <c r="M162" s="346">
        <v>46774.3</v>
      </c>
      <c r="N162" s="339"/>
      <c r="O162" s="343" t="s">
        <v>704</v>
      </c>
      <c r="P162" s="341">
        <v>42992</v>
      </c>
      <c r="Q162" s="342" t="s">
        <v>703</v>
      </c>
      <c r="R162" s="343"/>
      <c r="S162" s="350"/>
      <c r="T162" s="350"/>
      <c r="U162" s="350"/>
      <c r="V162" s="176"/>
      <c r="W162" s="351"/>
    </row>
    <row r="163" spans="1:23" s="27" customFormat="1" ht="39.75" customHeight="1">
      <c r="A163" s="264"/>
      <c r="B163" s="335" t="s">
        <v>695</v>
      </c>
      <c r="C163" s="343" t="s">
        <v>696</v>
      </c>
      <c r="D163" s="343" t="s">
        <v>100</v>
      </c>
      <c r="E163" s="336">
        <v>155165.6</v>
      </c>
      <c r="F163" s="337">
        <f t="shared" si="25"/>
        <v>134400.85</v>
      </c>
      <c r="G163" s="338">
        <f t="shared" si="26"/>
        <v>0.75000001860107279</v>
      </c>
      <c r="H163" s="346">
        <v>85680.54</v>
      </c>
      <c r="I163" s="346">
        <v>0</v>
      </c>
      <c r="J163" s="346">
        <v>15120.1</v>
      </c>
      <c r="K163" s="346">
        <v>0</v>
      </c>
      <c r="L163" s="346">
        <v>0</v>
      </c>
      <c r="M163" s="346">
        <v>33600.21</v>
      </c>
      <c r="N163" s="339"/>
      <c r="O163" s="343" t="s">
        <v>704</v>
      </c>
      <c r="P163" s="341">
        <v>42992</v>
      </c>
      <c r="Q163" s="342" t="s">
        <v>703</v>
      </c>
      <c r="R163" s="343"/>
      <c r="S163" s="350"/>
      <c r="T163" s="350"/>
      <c r="U163" s="350"/>
      <c r="V163" s="176"/>
      <c r="W163" s="351"/>
    </row>
    <row r="164" spans="1:23" s="27" customFormat="1" ht="39.75" customHeight="1">
      <c r="A164" s="264"/>
      <c r="B164" s="335" t="s">
        <v>697</v>
      </c>
      <c r="C164" s="343" t="s">
        <v>698</v>
      </c>
      <c r="D164" s="343" t="s">
        <v>100</v>
      </c>
      <c r="E164" s="336">
        <v>233511.78</v>
      </c>
      <c r="F164" s="337">
        <f>SUM(H164:M164)</f>
        <v>182500</v>
      </c>
      <c r="G164" s="338">
        <f t="shared" si="26"/>
        <v>0.75</v>
      </c>
      <c r="H164" s="346">
        <v>111322.37</v>
      </c>
      <c r="I164" s="346">
        <v>0</v>
      </c>
      <c r="J164" s="346">
        <v>19645.13</v>
      </c>
      <c r="K164" s="346">
        <v>5907.5</v>
      </c>
      <c r="L164" s="346">
        <v>0</v>
      </c>
      <c r="M164" s="346">
        <v>45625</v>
      </c>
      <c r="N164" s="339"/>
      <c r="O164" s="343" t="s">
        <v>704</v>
      </c>
      <c r="P164" s="341">
        <v>42992</v>
      </c>
      <c r="Q164" s="342" t="s">
        <v>703</v>
      </c>
      <c r="R164" s="343"/>
      <c r="S164" s="350"/>
      <c r="T164" s="350"/>
      <c r="U164" s="350"/>
      <c r="V164" s="176"/>
      <c r="W164" s="351"/>
    </row>
    <row r="165" spans="1:23" s="27" customFormat="1" ht="39.75" customHeight="1">
      <c r="A165" s="264"/>
      <c r="B165" s="344" t="s">
        <v>699</v>
      </c>
      <c r="C165" s="349" t="s">
        <v>700</v>
      </c>
      <c r="D165" s="355" t="s">
        <v>370</v>
      </c>
      <c r="E165" s="356">
        <v>270627.84999999998</v>
      </c>
      <c r="F165" s="347">
        <f>SUM(H165:M165)</f>
        <v>242778.25</v>
      </c>
      <c r="G165" s="357">
        <f t="shared" si="26"/>
        <v>0.66420027329466291</v>
      </c>
      <c r="H165" s="358">
        <v>137065.37</v>
      </c>
      <c r="I165" s="358">
        <v>0</v>
      </c>
      <c r="J165" s="358">
        <v>24188.01</v>
      </c>
      <c r="K165" s="358">
        <v>0</v>
      </c>
      <c r="L165" s="358">
        <v>0</v>
      </c>
      <c r="M165" s="358">
        <v>81524.87</v>
      </c>
      <c r="N165" s="339"/>
      <c r="O165" s="343" t="s">
        <v>704</v>
      </c>
      <c r="P165" s="341">
        <v>42992</v>
      </c>
      <c r="Q165" s="342" t="s">
        <v>703</v>
      </c>
      <c r="R165" s="343"/>
      <c r="S165" s="350"/>
      <c r="T165" s="350"/>
      <c r="U165" s="350"/>
      <c r="V165" s="176"/>
      <c r="W165" s="351"/>
    </row>
    <row r="166" spans="1:23" s="1" customFormat="1" ht="22.5" customHeight="1">
      <c r="A166" s="481" t="s">
        <v>420</v>
      </c>
      <c r="B166" s="481"/>
      <c r="C166" s="481"/>
      <c r="D166" s="481"/>
      <c r="E166" s="361"/>
      <c r="F166" s="359">
        <f>SUM(F11:F165)</f>
        <v>14293111.709999997</v>
      </c>
      <c r="G166" s="360">
        <f>(H166+I166+J166+K166+L166)/F166</f>
        <v>0.65963453800488547</v>
      </c>
      <c r="H166" s="359">
        <f>SUM(H11:H165)</f>
        <v>7723319.6857280666</v>
      </c>
      <c r="I166" s="359">
        <f t="shared" ref="I166:M166" si="27">SUM(I11:I165)</f>
        <v>394329.45000000013</v>
      </c>
      <c r="J166" s="359">
        <f t="shared" si="27"/>
        <v>1177631.2637499999</v>
      </c>
      <c r="K166" s="359">
        <f t="shared" si="27"/>
        <v>53740.34</v>
      </c>
      <c r="L166" s="359">
        <f t="shared" si="27"/>
        <v>79209.399999999994</v>
      </c>
      <c r="M166" s="359">
        <f t="shared" si="27"/>
        <v>4863881.5400000019</v>
      </c>
      <c r="N166" s="325"/>
      <c r="O166" s="326">
        <f>COUNTA(B7:B150)</f>
        <v>140</v>
      </c>
      <c r="P166" s="194"/>
      <c r="Q166" s="327"/>
      <c r="R166" s="327"/>
      <c r="S166" s="327"/>
      <c r="T166" s="327"/>
      <c r="U166" s="327"/>
      <c r="V166" s="327"/>
    </row>
    <row r="167" spans="1:23" s="14" customFormat="1" ht="42" customHeight="1">
      <c r="A167" s="502" t="s">
        <v>119</v>
      </c>
      <c r="B167" s="209" t="s">
        <v>120</v>
      </c>
      <c r="C167" s="328" t="s">
        <v>124</v>
      </c>
      <c r="D167" s="278" t="s">
        <v>122</v>
      </c>
      <c r="E167" s="195">
        <v>998090.94</v>
      </c>
      <c r="F167" s="329">
        <v>996143.33</v>
      </c>
      <c r="G167" s="330">
        <v>0.65</v>
      </c>
      <c r="H167" s="329">
        <v>246461.63</v>
      </c>
      <c r="I167" s="329">
        <v>0</v>
      </c>
      <c r="J167" s="329">
        <v>401031.53</v>
      </c>
      <c r="K167" s="329">
        <v>0</v>
      </c>
      <c r="L167" s="329">
        <v>0</v>
      </c>
      <c r="M167" s="329">
        <v>348650.17</v>
      </c>
      <c r="N167" s="184" t="s">
        <v>126</v>
      </c>
      <c r="O167" s="113" t="s">
        <v>127</v>
      </c>
      <c r="P167" s="185" t="s">
        <v>128</v>
      </c>
      <c r="Q167" s="185" t="s">
        <v>129</v>
      </c>
      <c r="R167" s="188" t="s">
        <v>159</v>
      </c>
      <c r="S167" s="185" t="s">
        <v>629</v>
      </c>
      <c r="T167" s="185"/>
      <c r="U167" s="185"/>
      <c r="V167" s="200"/>
      <c r="W167" s="15"/>
    </row>
    <row r="168" spans="1:23" s="14" customFormat="1" ht="30">
      <c r="A168" s="503"/>
      <c r="B168" s="209" t="s">
        <v>570</v>
      </c>
      <c r="C168" s="331" t="s">
        <v>125</v>
      </c>
      <c r="D168" s="216" t="s">
        <v>123</v>
      </c>
      <c r="E168" s="195">
        <v>280106.84000000003</v>
      </c>
      <c r="F168" s="332">
        <v>277725</v>
      </c>
      <c r="G168" s="333">
        <v>0.65</v>
      </c>
      <c r="H168" s="332">
        <v>138681.57999999999</v>
      </c>
      <c r="I168" s="332">
        <v>0</v>
      </c>
      <c r="J168" s="332">
        <v>41839.67</v>
      </c>
      <c r="K168" s="332">
        <v>0</v>
      </c>
      <c r="L168" s="332">
        <v>0</v>
      </c>
      <c r="M168" s="332">
        <v>97203.75</v>
      </c>
      <c r="N168" s="184" t="s">
        <v>126</v>
      </c>
      <c r="O168" s="113" t="s">
        <v>127</v>
      </c>
      <c r="P168" s="185" t="s">
        <v>128</v>
      </c>
      <c r="Q168" s="185" t="s">
        <v>129</v>
      </c>
      <c r="R168" s="188" t="s">
        <v>159</v>
      </c>
      <c r="S168" s="185" t="s">
        <v>630</v>
      </c>
      <c r="T168" s="185"/>
      <c r="U168" s="185"/>
      <c r="V168" s="200"/>
      <c r="W168" s="15"/>
    </row>
    <row r="169" spans="1:23" s="14" customFormat="1" ht="54.75" customHeight="1">
      <c r="A169" s="503"/>
      <c r="B169" s="216" t="s">
        <v>284</v>
      </c>
      <c r="C169" s="194" t="s">
        <v>285</v>
      </c>
      <c r="D169" s="194" t="s">
        <v>286</v>
      </c>
      <c r="E169" s="195">
        <v>805982</v>
      </c>
      <c r="F169" s="195">
        <f t="shared" ref="F169:F170" si="28">SUM(H169:M169)</f>
        <v>805982</v>
      </c>
      <c r="G169" s="214">
        <f t="shared" ref="G169:G170" si="29">(H169+I169+J169+K169)/F169</f>
        <v>0.45</v>
      </c>
      <c r="H169" s="217">
        <v>65587.31</v>
      </c>
      <c r="I169" s="195">
        <v>0</v>
      </c>
      <c r="J169" s="217">
        <v>297104.59000000003</v>
      </c>
      <c r="K169" s="195">
        <v>0</v>
      </c>
      <c r="L169" s="195">
        <v>0</v>
      </c>
      <c r="M169" s="195">
        <v>443290.1</v>
      </c>
      <c r="N169" s="113"/>
      <c r="O169" s="194" t="s">
        <v>250</v>
      </c>
      <c r="P169" s="194" t="s">
        <v>251</v>
      </c>
      <c r="Q169" s="194" t="s">
        <v>296</v>
      </c>
      <c r="R169" s="194" t="s">
        <v>341</v>
      </c>
      <c r="S169" s="188" t="s">
        <v>342</v>
      </c>
      <c r="T169" s="188"/>
      <c r="U169" s="188"/>
      <c r="V169" s="215"/>
      <c r="W169" s="15"/>
    </row>
    <row r="170" spans="1:23" s="14" customFormat="1" ht="35.25" customHeight="1">
      <c r="A170" s="503"/>
      <c r="B170" s="216" t="s">
        <v>287</v>
      </c>
      <c r="C170" s="194" t="s">
        <v>288</v>
      </c>
      <c r="D170" s="194" t="s">
        <v>289</v>
      </c>
      <c r="E170" s="195">
        <v>410765.06</v>
      </c>
      <c r="F170" s="195">
        <f t="shared" si="28"/>
        <v>410765.05999999994</v>
      </c>
      <c r="G170" s="214">
        <f t="shared" si="29"/>
        <v>0.65000000243448164</v>
      </c>
      <c r="H170" s="217">
        <v>225505.58</v>
      </c>
      <c r="I170" s="195">
        <v>0</v>
      </c>
      <c r="J170" s="217">
        <v>41491.71</v>
      </c>
      <c r="K170" s="195">
        <v>0</v>
      </c>
      <c r="L170" s="195">
        <v>0</v>
      </c>
      <c r="M170" s="195">
        <v>143767.76999999999</v>
      </c>
      <c r="N170" s="113"/>
      <c r="O170" s="194" t="s">
        <v>204</v>
      </c>
      <c r="P170" s="194" t="s">
        <v>205</v>
      </c>
      <c r="Q170" s="194" t="s">
        <v>294</v>
      </c>
      <c r="R170" s="194" t="s">
        <v>297</v>
      </c>
      <c r="S170" s="230" t="s">
        <v>573</v>
      </c>
      <c r="T170" s="188"/>
      <c r="U170" s="188"/>
      <c r="V170" s="215"/>
      <c r="W170" s="15"/>
    </row>
    <row r="171" spans="1:23" s="14" customFormat="1" ht="35.25" customHeight="1">
      <c r="A171" s="503"/>
      <c r="B171" s="216" t="s">
        <v>376</v>
      </c>
      <c r="C171" s="194" t="s">
        <v>374</v>
      </c>
      <c r="D171" s="194" t="s">
        <v>375</v>
      </c>
      <c r="E171" s="195">
        <v>112473</v>
      </c>
      <c r="F171" s="195">
        <f>SUM(H171:M171)</f>
        <v>112473</v>
      </c>
      <c r="G171" s="214">
        <f t="shared" ref="G171:G176" si="30">(H171+I171+J171+K171+L171)/F171</f>
        <v>0.75</v>
      </c>
      <c r="H171" s="217">
        <v>71701.53</v>
      </c>
      <c r="I171" s="195">
        <v>12653.22</v>
      </c>
      <c r="J171" s="217">
        <v>0</v>
      </c>
      <c r="K171" s="195">
        <v>0</v>
      </c>
      <c r="L171" s="195">
        <v>0</v>
      </c>
      <c r="M171" s="195">
        <v>28118.25</v>
      </c>
      <c r="N171" s="113"/>
      <c r="O171" s="194" t="s">
        <v>377</v>
      </c>
      <c r="P171" s="194" t="s">
        <v>378</v>
      </c>
      <c r="Q171" s="194"/>
      <c r="R171" s="194" t="s">
        <v>399</v>
      </c>
      <c r="S171" s="188" t="s">
        <v>437</v>
      </c>
      <c r="T171" s="188"/>
      <c r="U171" s="188"/>
      <c r="V171" s="215"/>
      <c r="W171" s="15"/>
    </row>
    <row r="172" spans="1:23" s="14" customFormat="1" ht="45">
      <c r="A172" s="503"/>
      <c r="B172" s="216" t="s">
        <v>497</v>
      </c>
      <c r="C172" s="194" t="s">
        <v>498</v>
      </c>
      <c r="D172" s="194" t="s">
        <v>97</v>
      </c>
      <c r="E172" s="195">
        <v>121691.3</v>
      </c>
      <c r="F172" s="195">
        <f>SUM(H172:M172)</f>
        <v>121037.61000000002</v>
      </c>
      <c r="G172" s="214">
        <f t="shared" si="30"/>
        <v>0.65000002891663178</v>
      </c>
      <c r="H172" s="217">
        <v>66622.14</v>
      </c>
      <c r="I172" s="195">
        <v>11756.85</v>
      </c>
      <c r="J172" s="217">
        <v>295.45999999999998</v>
      </c>
      <c r="K172" s="195">
        <v>0</v>
      </c>
      <c r="L172" s="195">
        <v>0</v>
      </c>
      <c r="M172" s="195">
        <v>42363.16</v>
      </c>
      <c r="N172" s="113"/>
      <c r="O172" s="194" t="s">
        <v>451</v>
      </c>
      <c r="P172" s="194" t="s">
        <v>499</v>
      </c>
      <c r="Q172" s="194"/>
      <c r="R172" s="194" t="s">
        <v>502</v>
      </c>
      <c r="S172" s="188" t="s">
        <v>572</v>
      </c>
      <c r="T172" s="188"/>
      <c r="U172" s="188"/>
      <c r="V172" s="215"/>
      <c r="W172" s="15"/>
    </row>
    <row r="173" spans="1:23" s="14" customFormat="1" ht="35.25" customHeight="1">
      <c r="A173" s="503"/>
      <c r="B173" s="216" t="s">
        <v>469</v>
      </c>
      <c r="C173" s="194" t="s">
        <v>471</v>
      </c>
      <c r="D173" s="194" t="s">
        <v>470</v>
      </c>
      <c r="E173" s="195">
        <v>36180</v>
      </c>
      <c r="F173" s="195">
        <f>SUM(H173:M173)</f>
        <v>2022.23</v>
      </c>
      <c r="G173" s="214">
        <f t="shared" si="30"/>
        <v>0.74999876374101859</v>
      </c>
      <c r="H173" s="217">
        <v>1157.67</v>
      </c>
      <c r="I173" s="195">
        <v>204.3</v>
      </c>
      <c r="J173" s="217">
        <v>154.69999999999999</v>
      </c>
      <c r="K173" s="195">
        <v>0</v>
      </c>
      <c r="L173" s="195">
        <v>0</v>
      </c>
      <c r="M173" s="195">
        <v>505.56</v>
      </c>
      <c r="N173" s="113"/>
      <c r="O173" s="194" t="s">
        <v>451</v>
      </c>
      <c r="P173" s="194" t="s">
        <v>499</v>
      </c>
      <c r="Q173" s="194"/>
      <c r="R173" s="194" t="s">
        <v>502</v>
      </c>
      <c r="S173" s="188" t="s">
        <v>571</v>
      </c>
      <c r="T173" s="188"/>
      <c r="U173" s="188"/>
      <c r="V173" s="215"/>
      <c r="W173" s="15"/>
    </row>
    <row r="174" spans="1:23" s="11" customFormat="1" ht="22.5" customHeight="1">
      <c r="A174" s="504" t="s">
        <v>121</v>
      </c>
      <c r="B174" s="505"/>
      <c r="C174" s="505"/>
      <c r="D174" s="506"/>
      <c r="E174" s="295"/>
      <c r="F174" s="48">
        <f>SUM(F167:F173)</f>
        <v>2726148.23</v>
      </c>
      <c r="G174" s="49">
        <f t="shared" si="30"/>
        <v>0.59507016241739719</v>
      </c>
      <c r="H174" s="48">
        <f>SUM(H167:H173)</f>
        <v>815717.44000000006</v>
      </c>
      <c r="I174" s="48">
        <f t="shared" ref="I174:M174" si="31">SUM(I167:I173)</f>
        <v>24614.37</v>
      </c>
      <c r="J174" s="48">
        <f t="shared" si="31"/>
        <v>781917.65999999992</v>
      </c>
      <c r="K174" s="48">
        <f t="shared" si="31"/>
        <v>0</v>
      </c>
      <c r="L174" s="48">
        <f t="shared" si="31"/>
        <v>0</v>
      </c>
      <c r="M174" s="48">
        <f t="shared" si="31"/>
        <v>1103898.76</v>
      </c>
      <c r="N174" s="9"/>
      <c r="O174" s="43">
        <f>COUNTA(B167:B173)</f>
        <v>7</v>
      </c>
      <c r="Q174" s="10"/>
      <c r="R174" s="10"/>
      <c r="S174" s="10"/>
      <c r="T174" s="10"/>
      <c r="U174" s="10"/>
      <c r="V174" s="10"/>
    </row>
    <row r="175" spans="1:23" s="27" customFormat="1" ht="30" customHeight="1">
      <c r="A175" s="507" t="s">
        <v>61</v>
      </c>
      <c r="B175" s="143" t="s">
        <v>153</v>
      </c>
      <c r="C175" s="113" t="s">
        <v>62</v>
      </c>
      <c r="D175" s="113" t="s">
        <v>63</v>
      </c>
      <c r="E175" s="184"/>
      <c r="F175" s="231">
        <f t="shared" ref="F175:F180" si="32">H175+I175+J175+K175+L175+M175</f>
        <v>39000</v>
      </c>
      <c r="G175" s="196">
        <f t="shared" si="30"/>
        <v>1</v>
      </c>
      <c r="H175" s="117">
        <v>33150</v>
      </c>
      <c r="I175" s="117">
        <v>0</v>
      </c>
      <c r="J175" s="117">
        <v>5850</v>
      </c>
      <c r="K175" s="117">
        <f t="shared" ref="K175:K176" si="33">SUM(K174)</f>
        <v>0</v>
      </c>
      <c r="L175" s="117">
        <v>0</v>
      </c>
      <c r="M175" s="117">
        <v>0</v>
      </c>
      <c r="N175" s="113" t="s">
        <v>58</v>
      </c>
      <c r="O175" s="113" t="s">
        <v>59</v>
      </c>
      <c r="P175" s="10"/>
      <c r="Q175" s="113"/>
      <c r="R175" s="232" t="s">
        <v>60</v>
      </c>
      <c r="S175" s="232" t="s">
        <v>158</v>
      </c>
      <c r="T175" s="230">
        <v>42356</v>
      </c>
      <c r="U175" s="113"/>
      <c r="V175" s="232"/>
    </row>
    <row r="176" spans="1:23" s="27" customFormat="1" ht="30" customHeight="1">
      <c r="A176" s="508"/>
      <c r="B176" s="101" t="s">
        <v>155</v>
      </c>
      <c r="C176" s="67" t="s">
        <v>62</v>
      </c>
      <c r="D176" s="67" t="s">
        <v>64</v>
      </c>
      <c r="E176" s="233"/>
      <c r="F176" s="234">
        <f t="shared" si="32"/>
        <v>45000</v>
      </c>
      <c r="G176" s="235">
        <f t="shared" si="30"/>
        <v>1</v>
      </c>
      <c r="H176" s="70">
        <v>38250</v>
      </c>
      <c r="I176" s="70">
        <v>0</v>
      </c>
      <c r="J176" s="70">
        <v>6750</v>
      </c>
      <c r="K176" s="70">
        <f t="shared" si="33"/>
        <v>0</v>
      </c>
      <c r="L176" s="70">
        <v>0</v>
      </c>
      <c r="M176" s="70">
        <v>0</v>
      </c>
      <c r="N176" s="67" t="s">
        <v>58</v>
      </c>
      <c r="O176" s="67" t="s">
        <v>59</v>
      </c>
      <c r="P176" s="67"/>
      <c r="Q176" s="67"/>
      <c r="R176" s="236" t="s">
        <v>60</v>
      </c>
      <c r="S176" s="236" t="s">
        <v>158</v>
      </c>
      <c r="T176" s="237">
        <v>42359</v>
      </c>
      <c r="U176" s="67"/>
      <c r="V176" s="236"/>
    </row>
    <row r="177" spans="1:23" s="27" customFormat="1" ht="30" customHeight="1">
      <c r="A177" s="508"/>
      <c r="B177" s="238" t="s">
        <v>169</v>
      </c>
      <c r="C177" s="239" t="s">
        <v>186</v>
      </c>
      <c r="D177" s="239" t="s">
        <v>187</v>
      </c>
      <c r="E177" s="240"/>
      <c r="F177" s="241">
        <f t="shared" si="32"/>
        <v>39000</v>
      </c>
      <c r="G177" s="235">
        <v>1</v>
      </c>
      <c r="H177" s="242">
        <v>33150</v>
      </c>
      <c r="I177" s="70">
        <v>0</v>
      </c>
      <c r="J177" s="70">
        <v>5850</v>
      </c>
      <c r="K177" s="70">
        <v>0</v>
      </c>
      <c r="L177" s="70">
        <v>0</v>
      </c>
      <c r="M177" s="70">
        <v>0</v>
      </c>
      <c r="N177" s="243" t="s">
        <v>161</v>
      </c>
      <c r="O177" s="67"/>
      <c r="P177" s="99" t="s">
        <v>160</v>
      </c>
      <c r="Q177" s="67"/>
      <c r="R177" s="236" t="s">
        <v>221</v>
      </c>
      <c r="S177" s="236" t="s">
        <v>350</v>
      </c>
      <c r="T177" s="237"/>
      <c r="U177" s="67"/>
      <c r="V177" s="236"/>
    </row>
    <row r="178" spans="1:23" s="27" customFormat="1" ht="30" customHeight="1">
      <c r="A178" s="508"/>
      <c r="B178" s="238" t="s">
        <v>170</v>
      </c>
      <c r="C178" s="238" t="s">
        <v>186</v>
      </c>
      <c r="D178" s="239" t="s">
        <v>188</v>
      </c>
      <c r="E178" s="240"/>
      <c r="F178" s="241">
        <f t="shared" si="32"/>
        <v>39000</v>
      </c>
      <c r="G178" s="235">
        <v>1</v>
      </c>
      <c r="H178" s="242">
        <v>33150</v>
      </c>
      <c r="I178" s="70">
        <v>0</v>
      </c>
      <c r="J178" s="70">
        <v>5850</v>
      </c>
      <c r="K178" s="70">
        <v>0</v>
      </c>
      <c r="L178" s="70">
        <v>0</v>
      </c>
      <c r="M178" s="70">
        <v>0</v>
      </c>
      <c r="N178" s="243" t="s">
        <v>161</v>
      </c>
      <c r="O178" s="67"/>
      <c r="P178" s="99" t="s">
        <v>160</v>
      </c>
      <c r="Q178" s="67"/>
      <c r="R178" s="236" t="s">
        <v>221</v>
      </c>
      <c r="S178" s="236" t="s">
        <v>349</v>
      </c>
      <c r="T178" s="237"/>
      <c r="U178" s="67"/>
      <c r="V178" s="236"/>
    </row>
    <row r="179" spans="1:23" s="15" customFormat="1" ht="30" customHeight="1">
      <c r="A179" s="508"/>
      <c r="B179" s="58" t="s">
        <v>154</v>
      </c>
      <c r="C179" s="56" t="s">
        <v>62</v>
      </c>
      <c r="D179" s="244" t="s">
        <v>65</v>
      </c>
      <c r="E179" s="245"/>
      <c r="F179" s="246">
        <f t="shared" si="32"/>
        <v>44700</v>
      </c>
      <c r="G179" s="247">
        <f>(H179+I179+J179+K179+L179)/F179</f>
        <v>1</v>
      </c>
      <c r="H179" s="57">
        <v>37995</v>
      </c>
      <c r="I179" s="57">
        <v>0</v>
      </c>
      <c r="J179" s="57">
        <v>6705</v>
      </c>
      <c r="K179" s="57">
        <f>SUM(K176)</f>
        <v>0</v>
      </c>
      <c r="L179" s="57">
        <v>0</v>
      </c>
      <c r="M179" s="57">
        <v>0</v>
      </c>
      <c r="N179" s="56" t="s">
        <v>58</v>
      </c>
      <c r="O179" s="56" t="s">
        <v>59</v>
      </c>
      <c r="P179" s="56"/>
      <c r="Q179" s="56"/>
      <c r="R179" s="59" t="s">
        <v>60</v>
      </c>
      <c r="S179" s="59" t="s">
        <v>158</v>
      </c>
      <c r="T179" s="248">
        <v>42359</v>
      </c>
      <c r="U179" s="56"/>
      <c r="V179" s="59"/>
      <c r="W179" s="27"/>
    </row>
    <row r="180" spans="1:23" s="15" customFormat="1" ht="42.75" customHeight="1">
      <c r="A180" s="509"/>
      <c r="B180" s="46" t="s">
        <v>419</v>
      </c>
      <c r="C180" s="56" t="s">
        <v>515</v>
      </c>
      <c r="D180" s="244" t="s">
        <v>65</v>
      </c>
      <c r="E180" s="245"/>
      <c r="F180" s="246">
        <f t="shared" si="32"/>
        <v>300</v>
      </c>
      <c r="G180" s="247">
        <f>(H180+I180+J180+K180+L180)/F180</f>
        <v>1</v>
      </c>
      <c r="H180" s="57">
        <v>255</v>
      </c>
      <c r="I180" s="57">
        <v>0</v>
      </c>
      <c r="J180" s="57">
        <v>45</v>
      </c>
      <c r="K180" s="57">
        <v>0</v>
      </c>
      <c r="L180" s="57">
        <v>0</v>
      </c>
      <c r="M180" s="57">
        <v>0</v>
      </c>
      <c r="N180" s="56"/>
      <c r="O180" s="249" t="s">
        <v>404</v>
      </c>
      <c r="P180" s="249" t="s">
        <v>452</v>
      </c>
      <c r="Q180" s="249"/>
      <c r="R180" s="249" t="s">
        <v>502</v>
      </c>
      <c r="S180" s="59" t="s">
        <v>516</v>
      </c>
      <c r="T180" s="248"/>
      <c r="U180" s="56"/>
      <c r="V180" s="59"/>
      <c r="W180" s="27"/>
    </row>
    <row r="181" spans="1:23" ht="18" customHeight="1">
      <c r="A181" s="250"/>
      <c r="B181" s="251"/>
      <c r="C181" s="252" t="s">
        <v>66</v>
      </c>
      <c r="D181" s="251"/>
      <c r="E181" s="251"/>
      <c r="F181" s="253">
        <f>SUM(F175:F180)</f>
        <v>207000</v>
      </c>
      <c r="G181" s="254">
        <f>(H181+I181+J181+K181+L181)/F181</f>
        <v>1</v>
      </c>
      <c r="H181" s="255">
        <f>SUM(H175:H180)</f>
        <v>175950</v>
      </c>
      <c r="I181" s="255">
        <f t="shared" ref="I181:M181" si="34">SUM(I175:I180)</f>
        <v>0</v>
      </c>
      <c r="J181" s="255">
        <f t="shared" si="34"/>
        <v>31050</v>
      </c>
      <c r="K181" s="255">
        <f t="shared" si="34"/>
        <v>0</v>
      </c>
      <c r="L181" s="255">
        <f t="shared" si="34"/>
        <v>0</v>
      </c>
      <c r="M181" s="255">
        <f t="shared" si="34"/>
        <v>0</v>
      </c>
      <c r="O181" s="47">
        <f>COUNTA(B175:B180)</f>
        <v>6</v>
      </c>
    </row>
    <row r="182" spans="1:23" s="319" customFormat="1" ht="51" customHeight="1">
      <c r="A182" s="314" t="s">
        <v>674</v>
      </c>
      <c r="B182" s="315" t="s">
        <v>675</v>
      </c>
      <c r="C182" s="315" t="s">
        <v>676</v>
      </c>
      <c r="D182" s="315" t="s">
        <v>677</v>
      </c>
      <c r="E182" s="316"/>
      <c r="F182" s="317">
        <f t="shared" ref="F182" si="35">SUM(H182:M182)</f>
        <v>704636.85</v>
      </c>
      <c r="G182" s="318">
        <f t="shared" ref="G182" si="36">(H182+I182+J182+K182)/F182</f>
        <v>0.74999991839768243</v>
      </c>
      <c r="H182" s="317">
        <v>427264.17</v>
      </c>
      <c r="I182" s="317">
        <v>75399.56</v>
      </c>
      <c r="J182" s="317">
        <v>0</v>
      </c>
      <c r="K182" s="317">
        <v>25813.85</v>
      </c>
      <c r="L182" s="317">
        <v>0</v>
      </c>
      <c r="M182" s="317">
        <v>176159.27</v>
      </c>
      <c r="O182" s="320"/>
    </row>
    <row r="183" spans="1:23" ht="18" customHeight="1">
      <c r="A183" s="303"/>
      <c r="B183" s="251"/>
      <c r="C183" s="252"/>
      <c r="D183" s="251"/>
      <c r="E183" s="306"/>
      <c r="F183" s="311"/>
      <c r="G183" s="312"/>
      <c r="H183" s="313"/>
      <c r="I183" s="313"/>
      <c r="J183" s="313"/>
      <c r="K183" s="313"/>
      <c r="L183" s="313"/>
      <c r="M183" s="313"/>
      <c r="O183" s="310"/>
    </row>
    <row r="184" spans="1:23" ht="18" customHeight="1">
      <c r="A184" s="303"/>
      <c r="B184" s="251"/>
      <c r="C184" s="252"/>
      <c r="D184" s="251"/>
      <c r="E184" s="306"/>
      <c r="F184" s="311"/>
      <c r="G184" s="312"/>
      <c r="H184" s="313"/>
      <c r="I184" s="313"/>
      <c r="J184" s="313"/>
      <c r="K184" s="313"/>
      <c r="L184" s="313"/>
      <c r="M184" s="313"/>
      <c r="O184" s="310"/>
    </row>
    <row r="185" spans="1:23" s="319" customFormat="1" ht="45" customHeight="1">
      <c r="A185" s="496" t="s">
        <v>673</v>
      </c>
      <c r="B185" s="315" t="s">
        <v>665</v>
      </c>
      <c r="C185" s="315" t="s">
        <v>666</v>
      </c>
      <c r="D185" s="315" t="s">
        <v>670</v>
      </c>
      <c r="E185" s="334">
        <v>35000</v>
      </c>
      <c r="F185" s="317">
        <f t="shared" ref="F185:F187" si="37">SUM(H185:M185)</f>
        <v>35000</v>
      </c>
      <c r="G185" s="318">
        <f t="shared" ref="G185:G187" si="38">(H185+I185+J185+K185)/F185</f>
        <v>1</v>
      </c>
      <c r="H185" s="317">
        <v>29750</v>
      </c>
      <c r="I185" s="317">
        <v>0</v>
      </c>
      <c r="J185" s="317">
        <v>5250</v>
      </c>
      <c r="K185" s="317">
        <v>0</v>
      </c>
      <c r="L185" s="317">
        <v>0</v>
      </c>
      <c r="M185" s="317">
        <v>0</v>
      </c>
      <c r="O185" s="320"/>
    </row>
    <row r="186" spans="1:23" s="319" customFormat="1" ht="42" customHeight="1">
      <c r="A186" s="497"/>
      <c r="B186" s="315" t="s">
        <v>667</v>
      </c>
      <c r="C186" s="321" t="s">
        <v>668</v>
      </c>
      <c r="D186" s="315" t="s">
        <v>671</v>
      </c>
      <c r="E186" s="334">
        <v>35000</v>
      </c>
      <c r="F186" s="317">
        <f t="shared" si="37"/>
        <v>35000</v>
      </c>
      <c r="G186" s="318">
        <f t="shared" si="38"/>
        <v>1</v>
      </c>
      <c r="H186" s="317">
        <v>29750</v>
      </c>
      <c r="I186" s="317">
        <v>0</v>
      </c>
      <c r="J186" s="317">
        <v>5250</v>
      </c>
      <c r="K186" s="317">
        <v>0</v>
      </c>
      <c r="L186" s="317">
        <v>0</v>
      </c>
      <c r="M186" s="317">
        <v>0</v>
      </c>
      <c r="O186" s="320"/>
    </row>
    <row r="187" spans="1:23" s="319" customFormat="1" ht="37.5" customHeight="1">
      <c r="A187" s="497"/>
      <c r="B187" s="322" t="s">
        <v>669</v>
      </c>
      <c r="C187" s="314" t="s">
        <v>668</v>
      </c>
      <c r="D187" s="323" t="s">
        <v>672</v>
      </c>
      <c r="E187" s="334">
        <v>35000</v>
      </c>
      <c r="F187" s="317">
        <f t="shared" si="37"/>
        <v>35000</v>
      </c>
      <c r="G187" s="318">
        <f t="shared" si="38"/>
        <v>1</v>
      </c>
      <c r="H187" s="317">
        <v>29750</v>
      </c>
      <c r="I187" s="317">
        <v>0</v>
      </c>
      <c r="J187" s="317">
        <v>5250</v>
      </c>
      <c r="K187" s="317">
        <v>0</v>
      </c>
      <c r="L187" s="317">
        <v>0</v>
      </c>
      <c r="M187" s="317">
        <v>0</v>
      </c>
      <c r="O187" s="320"/>
    </row>
    <row r="188" spans="1:23" ht="18" customHeight="1">
      <c r="A188" s="498"/>
      <c r="B188" s="304"/>
      <c r="C188" s="305"/>
      <c r="D188" s="304"/>
      <c r="E188" s="306"/>
      <c r="F188" s="307"/>
      <c r="G188" s="308"/>
      <c r="H188" s="309"/>
      <c r="I188" s="309"/>
      <c r="J188" s="309"/>
      <c r="K188" s="309"/>
      <c r="L188" s="309"/>
      <c r="M188" s="309"/>
      <c r="O188" s="310"/>
    </row>
    <row r="189" spans="1:23" ht="19.5" customHeight="1">
      <c r="A189" s="12"/>
      <c r="B189" s="13"/>
      <c r="C189" s="3"/>
      <c r="D189" s="3"/>
      <c r="E189" s="40"/>
      <c r="F189" s="4"/>
    </row>
    <row r="190" spans="1:23" s="32" customFormat="1" ht="38.25" customHeight="1">
      <c r="A190" s="250" t="s">
        <v>54</v>
      </c>
      <c r="B190" s="250"/>
      <c r="C190" s="250"/>
      <c r="D190" s="250"/>
      <c r="E190" s="250"/>
      <c r="F190" s="256">
        <f>F166+F181+F174</f>
        <v>17226259.939999998</v>
      </c>
      <c r="G190" s="257">
        <f>(H190+J190)/F190</f>
        <v>0.62146897160301817</v>
      </c>
      <c r="H190" s="258">
        <f>H166+H181+H174</f>
        <v>8714987.125728067</v>
      </c>
      <c r="I190" s="258">
        <f t="shared" ref="I190:M190" si="39">I166+I181+I174</f>
        <v>418943.82000000012</v>
      </c>
      <c r="J190" s="258">
        <f t="shared" si="39"/>
        <v>1990598.9237499998</v>
      </c>
      <c r="K190" s="258">
        <f t="shared" si="39"/>
        <v>53740.34</v>
      </c>
      <c r="L190" s="258">
        <f t="shared" si="39"/>
        <v>79209.399999999994</v>
      </c>
      <c r="M190" s="258">
        <f t="shared" si="39"/>
        <v>5967780.3000000017</v>
      </c>
      <c r="N190" s="30"/>
      <c r="O190" s="259">
        <f>O166+O174+O181</f>
        <v>153</v>
      </c>
      <c r="P190" s="7"/>
      <c r="Q190" s="31"/>
      <c r="R190" s="31"/>
      <c r="S190" s="31"/>
      <c r="T190" s="31"/>
      <c r="U190" s="31"/>
      <c r="V190" s="31"/>
    </row>
    <row r="191" spans="1:23" ht="2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31"/>
      <c r="Q191" s="5"/>
      <c r="R191" s="5"/>
      <c r="S191" s="5"/>
      <c r="T191" s="5"/>
      <c r="U191" s="5"/>
    </row>
    <row r="192" spans="1:23">
      <c r="F192" s="4"/>
      <c r="I192" s="4"/>
      <c r="J192" s="51"/>
      <c r="P192" s="5"/>
    </row>
    <row r="193" spans="10:17">
      <c r="J193" s="52"/>
      <c r="K193" s="4"/>
    </row>
    <row r="200" spans="10:17">
      <c r="Q200" s="40"/>
    </row>
    <row r="201" spans="10:17">
      <c r="Q201" s="40"/>
    </row>
    <row r="202" spans="10:17">
      <c r="Q202" s="41"/>
    </row>
    <row r="203" spans="10:17">
      <c r="Q203" s="42"/>
    </row>
    <row r="204" spans="10:17">
      <c r="Q204" s="42"/>
    </row>
    <row r="205" spans="10:17">
      <c r="Q205" s="42"/>
    </row>
    <row r="206" spans="10:17">
      <c r="Q206" s="41"/>
    </row>
    <row r="207" spans="10:17">
      <c r="Q207" s="42"/>
    </row>
    <row r="208" spans="10:17">
      <c r="Q208" s="42"/>
    </row>
    <row r="209" spans="16:17">
      <c r="Q209" s="41"/>
    </row>
    <row r="210" spans="16:17">
      <c r="Q210" s="41"/>
    </row>
    <row r="211" spans="16:17">
      <c r="Q211" s="41"/>
    </row>
    <row r="212" spans="16:17">
      <c r="Q212" s="41"/>
    </row>
    <row r="213" spans="16:17">
      <c r="Q213" s="41"/>
    </row>
    <row r="214" spans="16:17">
      <c r="Q214" s="41"/>
    </row>
    <row r="215" spans="16:17">
      <c r="Q215" s="41"/>
    </row>
    <row r="216" spans="16:17">
      <c r="Q216" s="41"/>
    </row>
    <row r="217" spans="16:17">
      <c r="Q217" s="41"/>
    </row>
    <row r="218" spans="16:17">
      <c r="Q218" s="41"/>
    </row>
    <row r="219" spans="16:17">
      <c r="Q219" s="41"/>
    </row>
    <row r="220" spans="16:17">
      <c r="P220" s="40"/>
      <c r="Q220" s="41"/>
    </row>
    <row r="221" spans="16:17">
      <c r="P221" s="40"/>
      <c r="Q221" s="41"/>
    </row>
    <row r="222" spans="16:17">
      <c r="P222" s="40"/>
      <c r="Q222" s="41"/>
    </row>
    <row r="223" spans="16:17">
      <c r="P223" s="40"/>
      <c r="Q223" s="40"/>
    </row>
    <row r="224" spans="16:17">
      <c r="P224" s="40"/>
    </row>
  </sheetData>
  <autoFilter ref="A10:V181"/>
  <mergeCells count="7">
    <mergeCell ref="A185:A188"/>
    <mergeCell ref="A6:D6"/>
    <mergeCell ref="A8:D8"/>
    <mergeCell ref="A166:D166"/>
    <mergeCell ref="A167:A173"/>
    <mergeCell ref="A174:D174"/>
    <mergeCell ref="A175:A180"/>
  </mergeCells>
  <pageMargins left="0.7" right="0.7" top="0.75" bottom="0.75" header="0.3" footer="0.3"/>
  <pageSetup paperSize="8" scale="4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84"/>
  <sheetViews>
    <sheetView zoomScale="70" zoomScaleNormal="70" workbookViewId="0">
      <pane xSplit="1" ySplit="10" topLeftCell="B29" activePane="bottomRight" state="frozen"/>
      <selection pane="topRight" activeCell="B1" sqref="B1"/>
      <selection pane="bottomLeft" activeCell="A11" sqref="A11"/>
      <selection pane="bottomRight" activeCell="P42" sqref="P42"/>
    </sheetView>
  </sheetViews>
  <sheetFormatPr baseColWidth="10" defaultColWidth="11.42578125" defaultRowHeight="15"/>
  <cols>
    <col min="1" max="1" width="29.85546875" style="7" customWidth="1"/>
    <col min="2" max="2" width="26" style="7" customWidth="1"/>
    <col min="3" max="3" width="42.85546875" style="7" customWidth="1"/>
    <col min="4" max="4" width="33.85546875" style="7" customWidth="1"/>
    <col min="5" max="5" width="22.5703125" style="7" customWidth="1"/>
    <col min="6" max="6" width="21.5703125" style="7" customWidth="1"/>
    <col min="7" max="7" width="11" style="7" customWidth="1"/>
    <col min="8" max="8" width="17.85546875" style="7" customWidth="1"/>
    <col min="9" max="9" width="17.5703125" style="7" customWidth="1"/>
    <col min="10" max="10" width="19" style="7" customWidth="1"/>
    <col min="11" max="11" width="15.85546875" style="7" customWidth="1"/>
    <col min="12" max="12" width="17.85546875" style="7" customWidth="1"/>
    <col min="13" max="13" width="18.28515625" style="7" customWidth="1"/>
    <col min="14" max="14" width="13.28515625" style="7" customWidth="1"/>
    <col min="15" max="15" width="16.5703125" style="7" customWidth="1"/>
    <col min="16" max="21" width="18.28515625" style="7" customWidth="1"/>
    <col min="22" max="22" width="15.85546875" style="7" customWidth="1"/>
    <col min="23" max="16384" width="11.42578125" style="7"/>
  </cols>
  <sheetData>
    <row r="3" spans="1:23">
      <c r="O3" s="4"/>
    </row>
    <row r="6" spans="1:23" ht="30.75" customHeight="1">
      <c r="A6" s="499" t="s">
        <v>52</v>
      </c>
      <c r="B6" s="500"/>
      <c r="C6" s="500"/>
      <c r="D6" s="501"/>
      <c r="E6" s="260"/>
      <c r="F6" s="62"/>
      <c r="G6" s="63" t="s">
        <v>53</v>
      </c>
      <c r="H6" s="64" t="e">
        <f>H50</f>
        <v>#REF!</v>
      </c>
      <c r="I6" s="34"/>
      <c r="J6" s="34"/>
      <c r="K6" s="34"/>
      <c r="L6" s="5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3" ht="10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3" ht="21" customHeight="1">
      <c r="A8" s="482" t="s">
        <v>45</v>
      </c>
      <c r="B8" s="482"/>
      <c r="C8" s="482"/>
      <c r="D8" s="482"/>
      <c r="E8" s="26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3" ht="12" customHeight="1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3" s="1" customFormat="1" ht="43.5" customHeight="1">
      <c r="A10" s="65" t="s">
        <v>0</v>
      </c>
      <c r="B10" s="65" t="s">
        <v>131</v>
      </c>
      <c r="C10" s="65" t="s">
        <v>1</v>
      </c>
      <c r="D10" s="65" t="s">
        <v>2</v>
      </c>
      <c r="E10" s="65" t="s">
        <v>579</v>
      </c>
      <c r="F10" s="65" t="s">
        <v>601</v>
      </c>
      <c r="G10" s="65" t="s">
        <v>51</v>
      </c>
      <c r="H10" s="65" t="s">
        <v>46</v>
      </c>
      <c r="I10" s="65" t="s">
        <v>302</v>
      </c>
      <c r="J10" s="65" t="s">
        <v>4</v>
      </c>
      <c r="K10" s="65" t="s">
        <v>6</v>
      </c>
      <c r="L10" s="65" t="s">
        <v>5</v>
      </c>
      <c r="M10" s="65" t="s">
        <v>3</v>
      </c>
      <c r="N10" s="65" t="s">
        <v>185</v>
      </c>
      <c r="O10" s="65" t="s">
        <v>586</v>
      </c>
      <c r="P10" s="65" t="s">
        <v>113</v>
      </c>
      <c r="Q10" s="65" t="s">
        <v>114</v>
      </c>
      <c r="R10" s="65" t="s">
        <v>7</v>
      </c>
      <c r="S10" s="2" t="s">
        <v>157</v>
      </c>
      <c r="T10" s="2" t="s">
        <v>8</v>
      </c>
      <c r="U10" s="65" t="s">
        <v>117</v>
      </c>
      <c r="V10" s="65" t="s">
        <v>116</v>
      </c>
    </row>
    <row r="11" spans="1:23" s="14" customFormat="1" ht="30">
      <c r="A11" s="510"/>
      <c r="B11" s="113" t="s">
        <v>162</v>
      </c>
      <c r="C11" s="113" t="s">
        <v>171</v>
      </c>
      <c r="D11" s="190" t="s">
        <v>178</v>
      </c>
      <c r="E11" s="117"/>
      <c r="F11" s="116">
        <f t="shared" ref="F11:F28" si="0">H11+I11+J11+K11+L11+M11</f>
        <v>26793.5</v>
      </c>
      <c r="G11" s="115">
        <v>0.5</v>
      </c>
      <c r="H11" s="117">
        <v>11387.23</v>
      </c>
      <c r="I11" s="117">
        <v>0</v>
      </c>
      <c r="J11" s="117">
        <v>2009.52</v>
      </c>
      <c r="K11" s="117">
        <v>0</v>
      </c>
      <c r="L11" s="117">
        <v>0</v>
      </c>
      <c r="M11" s="117">
        <v>13396.75</v>
      </c>
      <c r="N11" s="191" t="s">
        <v>161</v>
      </c>
      <c r="O11" s="113"/>
      <c r="P11" s="121" t="s">
        <v>160</v>
      </c>
      <c r="Q11" s="121"/>
      <c r="R11" s="188" t="s">
        <v>221</v>
      </c>
      <c r="S11" s="121" t="s">
        <v>343</v>
      </c>
      <c r="T11" s="121"/>
      <c r="U11" s="121"/>
      <c r="V11" s="192"/>
      <c r="W11" s="15"/>
    </row>
    <row r="12" spans="1:23" s="14" customFormat="1" ht="30">
      <c r="A12" s="510"/>
      <c r="B12" s="193" t="s">
        <v>163</v>
      </c>
      <c r="C12" s="194" t="s">
        <v>172</v>
      </c>
      <c r="D12" s="33" t="s">
        <v>179</v>
      </c>
      <c r="E12" s="195"/>
      <c r="F12" s="117">
        <f t="shared" si="0"/>
        <v>184793.49</v>
      </c>
      <c r="G12" s="196">
        <v>0.75</v>
      </c>
      <c r="H12" s="195">
        <v>117805.85</v>
      </c>
      <c r="I12" s="117">
        <v>0</v>
      </c>
      <c r="J12" s="195">
        <v>20789.27</v>
      </c>
      <c r="K12" s="117">
        <v>0</v>
      </c>
      <c r="L12" s="195">
        <v>0</v>
      </c>
      <c r="M12" s="195">
        <v>46198.37</v>
      </c>
      <c r="N12" s="191" t="s">
        <v>161</v>
      </c>
      <c r="O12" s="113"/>
      <c r="P12" s="197" t="s">
        <v>160</v>
      </c>
      <c r="Q12" s="197" t="s">
        <v>203</v>
      </c>
      <c r="R12" s="188" t="s">
        <v>221</v>
      </c>
      <c r="S12" s="121" t="s">
        <v>544</v>
      </c>
      <c r="T12" s="121"/>
      <c r="U12" s="121"/>
      <c r="V12" s="192"/>
      <c r="W12" s="15"/>
    </row>
    <row r="13" spans="1:23" s="14" customFormat="1" ht="30">
      <c r="A13" s="510"/>
      <c r="B13" s="198" t="s">
        <v>164</v>
      </c>
      <c r="C13" s="199" t="s">
        <v>173</v>
      </c>
      <c r="D13" s="193" t="s">
        <v>180</v>
      </c>
      <c r="E13" s="195"/>
      <c r="F13" s="117">
        <f t="shared" si="0"/>
        <v>430864.85000000003</v>
      </c>
      <c r="G13" s="196">
        <v>0.65</v>
      </c>
      <c r="H13" s="195">
        <v>158095.42000000001</v>
      </c>
      <c r="I13" s="117">
        <v>0</v>
      </c>
      <c r="J13" s="195">
        <v>42757.33</v>
      </c>
      <c r="K13" s="117">
        <v>0</v>
      </c>
      <c r="L13" s="195">
        <v>79209.399999999994</v>
      </c>
      <c r="M13" s="195">
        <v>150802.70000000001</v>
      </c>
      <c r="N13" s="184" t="s">
        <v>161</v>
      </c>
      <c r="O13" s="113"/>
      <c r="P13" s="139" t="s">
        <v>160</v>
      </c>
      <c r="Q13" s="139" t="s">
        <v>203</v>
      </c>
      <c r="R13" s="188" t="s">
        <v>221</v>
      </c>
      <c r="S13" s="185" t="s">
        <v>545</v>
      </c>
      <c r="T13" s="185"/>
      <c r="U13" s="185"/>
      <c r="V13" s="200"/>
      <c r="W13" s="15"/>
    </row>
    <row r="14" spans="1:23" s="14" customFormat="1" ht="30">
      <c r="A14" s="510"/>
      <c r="B14" s="198" t="s">
        <v>165</v>
      </c>
      <c r="C14" s="33" t="s">
        <v>174</v>
      </c>
      <c r="D14" s="193" t="s">
        <v>181</v>
      </c>
      <c r="E14" s="195"/>
      <c r="F14" s="116">
        <f t="shared" si="0"/>
        <v>61625.05</v>
      </c>
      <c r="G14" s="115">
        <v>0.5</v>
      </c>
      <c r="H14" s="195">
        <v>26190.65</v>
      </c>
      <c r="I14" s="117">
        <v>0</v>
      </c>
      <c r="J14" s="195">
        <v>4621.88</v>
      </c>
      <c r="K14" s="117">
        <v>0</v>
      </c>
      <c r="L14" s="195">
        <v>0</v>
      </c>
      <c r="M14" s="195">
        <v>30812.52</v>
      </c>
      <c r="N14" s="184" t="s">
        <v>161</v>
      </c>
      <c r="O14" s="113"/>
      <c r="P14" s="185" t="s">
        <v>160</v>
      </c>
      <c r="Q14" s="185"/>
      <c r="R14" s="188" t="s">
        <v>221</v>
      </c>
      <c r="S14" s="185" t="s">
        <v>550</v>
      </c>
      <c r="T14" s="185"/>
      <c r="U14" s="185"/>
      <c r="V14" s="200"/>
      <c r="W14" s="15"/>
    </row>
    <row r="15" spans="1:23" s="14" customFormat="1" ht="30">
      <c r="A15" s="510"/>
      <c r="B15" s="201" t="s">
        <v>166</v>
      </c>
      <c r="C15" s="194" t="s">
        <v>175</v>
      </c>
      <c r="D15" s="193" t="s">
        <v>182</v>
      </c>
      <c r="E15" s="195"/>
      <c r="F15" s="116">
        <f t="shared" si="0"/>
        <v>8910</v>
      </c>
      <c r="G15" s="115">
        <v>0.65</v>
      </c>
      <c r="H15" s="195">
        <v>4922.7700000000004</v>
      </c>
      <c r="I15" s="117">
        <v>0</v>
      </c>
      <c r="J15" s="195">
        <v>868.73</v>
      </c>
      <c r="K15" s="117">
        <v>0</v>
      </c>
      <c r="L15" s="195">
        <v>0</v>
      </c>
      <c r="M15" s="195">
        <v>3118.5</v>
      </c>
      <c r="N15" s="184" t="s">
        <v>161</v>
      </c>
      <c r="O15" s="113"/>
      <c r="P15" s="185" t="s">
        <v>160</v>
      </c>
      <c r="Q15" s="185"/>
      <c r="R15" s="188" t="s">
        <v>221</v>
      </c>
      <c r="S15" s="185" t="s">
        <v>549</v>
      </c>
      <c r="T15" s="185"/>
      <c r="U15" s="185"/>
      <c r="V15" s="200"/>
      <c r="W15" s="15"/>
    </row>
    <row r="16" spans="1:23" s="14" customFormat="1" ht="30">
      <c r="A16" s="510"/>
      <c r="B16" s="201" t="s">
        <v>167</v>
      </c>
      <c r="C16" s="194" t="s">
        <v>176</v>
      </c>
      <c r="D16" s="193" t="s">
        <v>183</v>
      </c>
      <c r="E16" s="195"/>
      <c r="F16" s="116">
        <f t="shared" si="0"/>
        <v>30200</v>
      </c>
      <c r="G16" s="115">
        <v>0.65</v>
      </c>
      <c r="H16" s="195">
        <v>16685.5</v>
      </c>
      <c r="I16" s="117">
        <v>0</v>
      </c>
      <c r="J16" s="195">
        <v>2944.5</v>
      </c>
      <c r="K16" s="117">
        <v>0</v>
      </c>
      <c r="L16" s="195">
        <v>0</v>
      </c>
      <c r="M16" s="195">
        <v>10570</v>
      </c>
      <c r="N16" s="184" t="s">
        <v>161</v>
      </c>
      <c r="O16" s="113"/>
      <c r="P16" s="185" t="s">
        <v>160</v>
      </c>
      <c r="Q16" s="185"/>
      <c r="R16" s="188" t="s">
        <v>221</v>
      </c>
      <c r="S16" s="185" t="s">
        <v>343</v>
      </c>
      <c r="T16" s="185"/>
      <c r="U16" s="185"/>
      <c r="V16" s="200"/>
      <c r="W16" s="15"/>
    </row>
    <row r="17" spans="1:23" s="14" customFormat="1" ht="30">
      <c r="A17" s="510"/>
      <c r="B17" s="201" t="s">
        <v>168</v>
      </c>
      <c r="C17" s="194" t="s">
        <v>177</v>
      </c>
      <c r="D17" s="193" t="s">
        <v>184</v>
      </c>
      <c r="E17" s="195"/>
      <c r="F17" s="116">
        <f t="shared" si="0"/>
        <v>35942.5</v>
      </c>
      <c r="G17" s="115">
        <v>0.5</v>
      </c>
      <c r="H17" s="195">
        <v>15275.56</v>
      </c>
      <c r="I17" s="117">
        <v>0</v>
      </c>
      <c r="J17" s="195">
        <v>2695.69</v>
      </c>
      <c r="K17" s="117">
        <v>0</v>
      </c>
      <c r="L17" s="195">
        <v>0</v>
      </c>
      <c r="M17" s="195">
        <v>17971.25</v>
      </c>
      <c r="N17" s="184" t="s">
        <v>161</v>
      </c>
      <c r="O17" s="113"/>
      <c r="P17" s="185" t="s">
        <v>160</v>
      </c>
      <c r="Q17" s="185"/>
      <c r="R17" s="188" t="s">
        <v>221</v>
      </c>
      <c r="S17" s="185" t="s">
        <v>548</v>
      </c>
      <c r="T17" s="185"/>
      <c r="U17" s="185"/>
      <c r="V17" s="200"/>
      <c r="W17" s="15"/>
    </row>
    <row r="18" spans="1:23" s="14" customFormat="1" ht="30">
      <c r="A18" s="510"/>
      <c r="B18" s="201" t="s">
        <v>189</v>
      </c>
      <c r="C18" s="202" t="s">
        <v>194</v>
      </c>
      <c r="D18" s="203" t="s">
        <v>199</v>
      </c>
      <c r="E18" s="204"/>
      <c r="F18" s="116">
        <f t="shared" si="0"/>
        <v>14652</v>
      </c>
      <c r="G18" s="115">
        <v>0.64999999999999991</v>
      </c>
      <c r="H18" s="117">
        <v>8095.23</v>
      </c>
      <c r="I18" s="117">
        <v>0</v>
      </c>
      <c r="J18" s="117">
        <v>1428.57</v>
      </c>
      <c r="K18" s="117">
        <v>0</v>
      </c>
      <c r="L18" s="117">
        <v>0</v>
      </c>
      <c r="M18" s="21">
        <v>5128.2</v>
      </c>
      <c r="N18" s="184" t="s">
        <v>126</v>
      </c>
      <c r="O18" s="113" t="s">
        <v>127</v>
      </c>
      <c r="P18" s="185" t="s">
        <v>160</v>
      </c>
      <c r="Q18" s="185"/>
      <c r="R18" s="188" t="s">
        <v>221</v>
      </c>
      <c r="S18" s="185" t="s">
        <v>547</v>
      </c>
      <c r="T18" s="185"/>
      <c r="U18" s="185"/>
      <c r="V18" s="200"/>
      <c r="W18" s="15"/>
    </row>
    <row r="19" spans="1:23" s="14" customFormat="1" ht="30">
      <c r="A19" s="510"/>
      <c r="B19" s="201" t="s">
        <v>190</v>
      </c>
      <c r="C19" s="202" t="s">
        <v>195</v>
      </c>
      <c r="D19" s="203" t="s">
        <v>199</v>
      </c>
      <c r="E19" s="204"/>
      <c r="F19" s="116">
        <f t="shared" si="0"/>
        <v>89138.4</v>
      </c>
      <c r="G19" s="115">
        <v>0.52566234080934826</v>
      </c>
      <c r="H19" s="117">
        <v>39828.19</v>
      </c>
      <c r="I19" s="117">
        <v>0</v>
      </c>
      <c r="J19" s="117">
        <v>7028.51</v>
      </c>
      <c r="K19" s="117">
        <v>0</v>
      </c>
      <c r="L19" s="117">
        <v>0</v>
      </c>
      <c r="M19" s="21">
        <v>42281.7</v>
      </c>
      <c r="N19" s="184" t="s">
        <v>126</v>
      </c>
      <c r="O19" s="113" t="s">
        <v>127</v>
      </c>
      <c r="P19" s="185" t="s">
        <v>160</v>
      </c>
      <c r="Q19" s="185"/>
      <c r="R19" s="188" t="s">
        <v>221</v>
      </c>
      <c r="S19" s="185" t="s">
        <v>546</v>
      </c>
      <c r="T19" s="185"/>
      <c r="U19" s="185"/>
      <c r="V19" s="200"/>
      <c r="W19" s="15"/>
    </row>
    <row r="20" spans="1:23" s="14" customFormat="1" ht="30">
      <c r="A20" s="510"/>
      <c r="B20" s="18" t="s">
        <v>191</v>
      </c>
      <c r="C20" s="194" t="s">
        <v>196</v>
      </c>
      <c r="D20" s="193" t="s">
        <v>200</v>
      </c>
      <c r="E20" s="195"/>
      <c r="F20" s="116">
        <f t="shared" si="0"/>
        <v>45407.7</v>
      </c>
      <c r="G20" s="115">
        <v>0.750000110113483</v>
      </c>
      <c r="H20" s="117">
        <v>28947.41</v>
      </c>
      <c r="I20" s="117">
        <v>0</v>
      </c>
      <c r="J20" s="117">
        <v>5108.37</v>
      </c>
      <c r="K20" s="117">
        <v>0</v>
      </c>
      <c r="L20" s="117">
        <v>0</v>
      </c>
      <c r="M20" s="21">
        <v>11351.92</v>
      </c>
      <c r="N20" s="184" t="s">
        <v>126</v>
      </c>
      <c r="O20" s="113" t="s">
        <v>127</v>
      </c>
      <c r="P20" s="185" t="s">
        <v>160</v>
      </c>
      <c r="Q20" s="185"/>
      <c r="R20" s="188" t="s">
        <v>221</v>
      </c>
      <c r="S20" s="185" t="s">
        <v>551</v>
      </c>
      <c r="T20" s="185"/>
      <c r="U20" s="185"/>
      <c r="V20" s="200"/>
      <c r="W20" s="15"/>
    </row>
    <row r="21" spans="1:23" s="14" customFormat="1" ht="30">
      <c r="A21" s="510"/>
      <c r="B21" s="18" t="s">
        <v>192</v>
      </c>
      <c r="C21" s="202" t="s">
        <v>197</v>
      </c>
      <c r="D21" s="203" t="s">
        <v>201</v>
      </c>
      <c r="E21" s="204"/>
      <c r="F21" s="116">
        <f t="shared" si="0"/>
        <v>42409.45</v>
      </c>
      <c r="G21" s="115">
        <v>0.73189418867728773</v>
      </c>
      <c r="H21" s="117">
        <v>26383.34</v>
      </c>
      <c r="I21" s="117">
        <v>0</v>
      </c>
      <c r="J21" s="117">
        <v>4655.8900000000003</v>
      </c>
      <c r="K21" s="117">
        <v>0</v>
      </c>
      <c r="L21" s="117">
        <v>0</v>
      </c>
      <c r="M21" s="21">
        <v>11370.22</v>
      </c>
      <c r="N21" s="184" t="s">
        <v>156</v>
      </c>
      <c r="O21" s="113" t="s">
        <v>130</v>
      </c>
      <c r="P21" s="185" t="s">
        <v>160</v>
      </c>
      <c r="Q21" s="185"/>
      <c r="R21" s="188" t="s">
        <v>221</v>
      </c>
      <c r="S21" s="185" t="s">
        <v>552</v>
      </c>
      <c r="T21" s="185"/>
      <c r="U21" s="185"/>
      <c r="V21" s="200"/>
      <c r="W21" s="15"/>
    </row>
    <row r="22" spans="1:23" s="14" customFormat="1" ht="30">
      <c r="A22" s="510"/>
      <c r="B22" s="35" t="s">
        <v>193</v>
      </c>
      <c r="C22" s="205" t="s">
        <v>198</v>
      </c>
      <c r="D22" s="206" t="s">
        <v>202</v>
      </c>
      <c r="E22" s="207"/>
      <c r="F22" s="208">
        <f t="shared" si="0"/>
        <v>18820.8</v>
      </c>
      <c r="G22" s="115">
        <v>0.5</v>
      </c>
      <c r="H22" s="117">
        <v>7998.84</v>
      </c>
      <c r="I22" s="117">
        <v>0</v>
      </c>
      <c r="J22" s="117">
        <v>1411.56</v>
      </c>
      <c r="K22" s="117">
        <v>0</v>
      </c>
      <c r="L22" s="117">
        <v>0</v>
      </c>
      <c r="M22" s="21">
        <v>9410.4</v>
      </c>
      <c r="N22" s="184" t="s">
        <v>156</v>
      </c>
      <c r="O22" s="113" t="s">
        <v>130</v>
      </c>
      <c r="P22" s="185" t="s">
        <v>160</v>
      </c>
      <c r="Q22" s="185"/>
      <c r="R22" s="188" t="s">
        <v>221</v>
      </c>
      <c r="S22" s="185" t="s">
        <v>342</v>
      </c>
      <c r="T22" s="185"/>
      <c r="U22" s="185"/>
      <c r="V22" s="200"/>
      <c r="W22" s="15"/>
    </row>
    <row r="23" spans="1:23" s="14" customFormat="1" ht="30">
      <c r="A23" s="510"/>
      <c r="B23" s="209" t="s">
        <v>210</v>
      </c>
      <c r="C23" s="194" t="s">
        <v>208</v>
      </c>
      <c r="D23" s="210" t="s">
        <v>206</v>
      </c>
      <c r="E23" s="207"/>
      <c r="F23" s="208">
        <f t="shared" si="0"/>
        <v>79596.299999999988</v>
      </c>
      <c r="G23" s="115">
        <v>0.5</v>
      </c>
      <c r="H23" s="117">
        <v>33828.42</v>
      </c>
      <c r="I23" s="117">
        <v>0</v>
      </c>
      <c r="J23" s="117">
        <v>5969.73</v>
      </c>
      <c r="K23" s="117">
        <v>0</v>
      </c>
      <c r="L23" s="117">
        <v>0</v>
      </c>
      <c r="M23" s="21">
        <v>39798.15</v>
      </c>
      <c r="N23" s="184" t="s">
        <v>204</v>
      </c>
      <c r="O23" s="113"/>
      <c r="P23" s="185" t="s">
        <v>205</v>
      </c>
      <c r="Q23" s="185"/>
      <c r="R23" s="188" t="s">
        <v>222</v>
      </c>
      <c r="S23" s="185" t="s">
        <v>553</v>
      </c>
      <c r="T23" s="185"/>
      <c r="U23" s="185"/>
      <c r="V23" s="200"/>
      <c r="W23" s="15"/>
    </row>
    <row r="24" spans="1:23" s="14" customFormat="1" ht="30">
      <c r="A24" s="510"/>
      <c r="B24" s="209" t="s">
        <v>211</v>
      </c>
      <c r="C24" s="194" t="s">
        <v>209</v>
      </c>
      <c r="D24" s="210" t="s">
        <v>207</v>
      </c>
      <c r="E24" s="207"/>
      <c r="F24" s="208">
        <f t="shared" si="0"/>
        <v>15513.75</v>
      </c>
      <c r="G24" s="115">
        <v>0.65</v>
      </c>
      <c r="H24" s="117">
        <v>8571.34</v>
      </c>
      <c r="I24" s="117">
        <v>0</v>
      </c>
      <c r="J24" s="117">
        <v>1512.6</v>
      </c>
      <c r="K24" s="117">
        <v>0</v>
      </c>
      <c r="L24" s="117">
        <v>0</v>
      </c>
      <c r="M24" s="21">
        <v>5429.81</v>
      </c>
      <c r="N24" s="184" t="s">
        <v>204</v>
      </c>
      <c r="O24" s="113"/>
      <c r="P24" s="185" t="s">
        <v>205</v>
      </c>
      <c r="Q24" s="185"/>
      <c r="R24" s="188" t="s">
        <v>223</v>
      </c>
      <c r="S24" s="185" t="s">
        <v>554</v>
      </c>
      <c r="T24" s="185"/>
      <c r="U24" s="185"/>
      <c r="V24" s="200"/>
      <c r="W24" s="15"/>
    </row>
    <row r="25" spans="1:23" s="14" customFormat="1" ht="30">
      <c r="A25" s="510"/>
      <c r="B25" s="209" t="s">
        <v>214</v>
      </c>
      <c r="C25" s="194" t="s">
        <v>212</v>
      </c>
      <c r="D25" s="210" t="s">
        <v>213</v>
      </c>
      <c r="E25" s="207"/>
      <c r="F25" s="208">
        <f t="shared" si="0"/>
        <v>40451.65</v>
      </c>
      <c r="G25" s="115">
        <v>0.5</v>
      </c>
      <c r="H25" s="117">
        <v>17191.95</v>
      </c>
      <c r="I25" s="117">
        <v>0</v>
      </c>
      <c r="J25" s="117">
        <v>3033.88</v>
      </c>
      <c r="K25" s="117">
        <v>0</v>
      </c>
      <c r="L25" s="117">
        <v>0</v>
      </c>
      <c r="M25" s="21">
        <v>20225.82</v>
      </c>
      <c r="N25" s="184" t="s">
        <v>204</v>
      </c>
      <c r="O25" s="113"/>
      <c r="P25" s="185" t="s">
        <v>205</v>
      </c>
      <c r="Q25" s="185"/>
      <c r="R25" s="188" t="s">
        <v>224</v>
      </c>
      <c r="S25" s="185" t="s">
        <v>555</v>
      </c>
      <c r="T25" s="185"/>
      <c r="U25" s="185"/>
      <c r="V25" s="200"/>
      <c r="W25" s="15"/>
    </row>
    <row r="26" spans="1:23" s="14" customFormat="1" ht="30">
      <c r="A26" s="510"/>
      <c r="B26" s="209" t="s">
        <v>219</v>
      </c>
      <c r="C26" s="194" t="s">
        <v>215</v>
      </c>
      <c r="D26" s="210" t="s">
        <v>216</v>
      </c>
      <c r="E26" s="207"/>
      <c r="F26" s="208">
        <f t="shared" si="0"/>
        <v>6501</v>
      </c>
      <c r="G26" s="115">
        <v>0.65</v>
      </c>
      <c r="H26" s="117">
        <v>3591.8</v>
      </c>
      <c r="I26" s="117">
        <v>0</v>
      </c>
      <c r="J26" s="117">
        <v>633.85</v>
      </c>
      <c r="K26" s="117">
        <v>0</v>
      </c>
      <c r="L26" s="117">
        <v>0</v>
      </c>
      <c r="M26" s="21">
        <v>2275.35</v>
      </c>
      <c r="N26" s="184" t="s">
        <v>204</v>
      </c>
      <c r="O26" s="113"/>
      <c r="P26" s="185" t="s">
        <v>205</v>
      </c>
      <c r="Q26" s="185"/>
      <c r="R26" s="188" t="s">
        <v>225</v>
      </c>
      <c r="S26" s="185" t="s">
        <v>556</v>
      </c>
      <c r="T26" s="185"/>
      <c r="U26" s="185"/>
      <c r="V26" s="200"/>
      <c r="W26" s="15"/>
    </row>
    <row r="27" spans="1:23" s="14" customFormat="1" ht="30">
      <c r="A27" s="510"/>
      <c r="B27" s="209" t="s">
        <v>220</v>
      </c>
      <c r="C27" s="194" t="s">
        <v>217</v>
      </c>
      <c r="D27" s="203" t="s">
        <v>218</v>
      </c>
      <c r="E27" s="211"/>
      <c r="F27" s="116">
        <f t="shared" si="0"/>
        <v>41562.6</v>
      </c>
      <c r="G27" s="115">
        <v>0.5</v>
      </c>
      <c r="H27" s="117">
        <v>17664.099999999999</v>
      </c>
      <c r="I27" s="117">
        <v>0</v>
      </c>
      <c r="J27" s="117">
        <v>3117.2</v>
      </c>
      <c r="K27" s="117">
        <v>0</v>
      </c>
      <c r="L27" s="117">
        <v>0</v>
      </c>
      <c r="M27" s="21">
        <v>20781.3</v>
      </c>
      <c r="N27" s="184" t="s">
        <v>204</v>
      </c>
      <c r="O27" s="113"/>
      <c r="P27" s="185" t="s">
        <v>205</v>
      </c>
      <c r="Q27" s="185"/>
      <c r="R27" s="188" t="s">
        <v>226</v>
      </c>
      <c r="S27" s="185" t="s">
        <v>557</v>
      </c>
      <c r="T27" s="185"/>
      <c r="U27" s="185"/>
      <c r="V27" s="200"/>
      <c r="W27" s="15"/>
    </row>
    <row r="28" spans="1:23" s="14" customFormat="1" ht="45">
      <c r="A28" s="510"/>
      <c r="B28" s="36" t="s">
        <v>109</v>
      </c>
      <c r="C28" s="37" t="s">
        <v>110</v>
      </c>
      <c r="D28" s="38" t="s">
        <v>111</v>
      </c>
      <c r="E28" s="189"/>
      <c r="F28" s="116">
        <f t="shared" si="0"/>
        <v>115948.59999999999</v>
      </c>
      <c r="G28" s="115">
        <v>0.67</v>
      </c>
      <c r="H28" s="117">
        <v>65640.649999999994</v>
      </c>
      <c r="I28" s="117">
        <v>0</v>
      </c>
      <c r="J28" s="117">
        <v>11583.65</v>
      </c>
      <c r="K28" s="117">
        <v>0</v>
      </c>
      <c r="L28" s="117">
        <v>0</v>
      </c>
      <c r="M28" s="25">
        <v>38724.300000000003</v>
      </c>
      <c r="N28" s="212" t="s">
        <v>94</v>
      </c>
      <c r="O28" s="113" t="s">
        <v>96</v>
      </c>
      <c r="P28" s="185"/>
      <c r="Q28" s="185"/>
      <c r="R28" s="188" t="s">
        <v>95</v>
      </c>
      <c r="S28" s="185" t="s">
        <v>158</v>
      </c>
      <c r="T28" s="185"/>
      <c r="U28" s="185"/>
      <c r="V28" s="200"/>
      <c r="W28" s="15"/>
    </row>
    <row r="29" spans="1:23" s="14" customFormat="1" ht="30" customHeight="1">
      <c r="A29" s="511" t="s">
        <v>11</v>
      </c>
      <c r="B29" s="194" t="s">
        <v>229</v>
      </c>
      <c r="C29" s="199" t="s">
        <v>230</v>
      </c>
      <c r="D29" s="193" t="s">
        <v>231</v>
      </c>
      <c r="E29" s="213"/>
      <c r="F29" s="195">
        <f>SUM(H29:M29)</f>
        <v>127889.95000000001</v>
      </c>
      <c r="G29" s="214">
        <f t="shared" ref="G29" si="1">(H29+I29+J29+K29)/F29</f>
        <v>0.50000003909611346</v>
      </c>
      <c r="H29" s="195">
        <v>54353.23</v>
      </c>
      <c r="I29" s="195">
        <v>0</v>
      </c>
      <c r="J29" s="195">
        <v>9591.75</v>
      </c>
      <c r="K29" s="195">
        <v>0</v>
      </c>
      <c r="L29" s="195">
        <v>0</v>
      </c>
      <c r="M29" s="195">
        <v>63944.97</v>
      </c>
      <c r="N29" s="113"/>
      <c r="O29" s="113" t="s">
        <v>227</v>
      </c>
      <c r="P29" s="188" t="s">
        <v>228</v>
      </c>
      <c r="Q29" s="188"/>
      <c r="R29" s="188" t="s">
        <v>298</v>
      </c>
      <c r="S29" s="188" t="s">
        <v>521</v>
      </c>
      <c r="T29" s="188"/>
      <c r="U29" s="188"/>
      <c r="V29" s="215"/>
      <c r="W29" s="15"/>
    </row>
    <row r="30" spans="1:23" s="14" customFormat="1" ht="30">
      <c r="A30" s="510"/>
      <c r="B30" s="216" t="s">
        <v>232</v>
      </c>
      <c r="C30" s="194" t="s">
        <v>233</v>
      </c>
      <c r="D30" s="194" t="s">
        <v>234</v>
      </c>
      <c r="E30" s="195"/>
      <c r="F30" s="195">
        <f>SUM(H30:M30)</f>
        <v>74891.100000000006</v>
      </c>
      <c r="G30" s="214">
        <f>(H30+I30+J30+K30)/F30</f>
        <v>0.5</v>
      </c>
      <c r="H30" s="217">
        <v>31828.71</v>
      </c>
      <c r="I30" s="195">
        <v>0</v>
      </c>
      <c r="J30" s="217">
        <v>5616.84</v>
      </c>
      <c r="K30" s="195">
        <v>0</v>
      </c>
      <c r="L30" s="195">
        <v>0</v>
      </c>
      <c r="M30" s="195">
        <v>37445.550000000003</v>
      </c>
      <c r="N30" s="113"/>
      <c r="O30" s="113" t="s">
        <v>227</v>
      </c>
      <c r="P30" s="188" t="s">
        <v>228</v>
      </c>
      <c r="Q30" s="188"/>
      <c r="R30" s="188" t="s">
        <v>295</v>
      </c>
      <c r="S30" s="188" t="s">
        <v>558</v>
      </c>
      <c r="T30" s="188"/>
      <c r="U30" s="188"/>
      <c r="V30" s="215"/>
      <c r="W30" s="15"/>
    </row>
    <row r="31" spans="1:23" s="14" customFormat="1" ht="30">
      <c r="A31" s="510"/>
      <c r="B31" s="216" t="s">
        <v>235</v>
      </c>
      <c r="C31" s="194" t="s">
        <v>236</v>
      </c>
      <c r="D31" s="194" t="s">
        <v>237</v>
      </c>
      <c r="E31" s="195"/>
      <c r="F31" s="195">
        <f t="shared" ref="F31:F35" si="2">SUM(H31:M31)</f>
        <v>86293.39</v>
      </c>
      <c r="G31" s="214">
        <f t="shared" ref="G31:G42" si="3">(H31+I31+J31+K31)/F31</f>
        <v>0.74999997102906724</v>
      </c>
      <c r="H31" s="217">
        <v>55012.03</v>
      </c>
      <c r="I31" s="195">
        <v>0</v>
      </c>
      <c r="J31" s="217">
        <v>9708.01</v>
      </c>
      <c r="K31" s="195">
        <v>0</v>
      </c>
      <c r="L31" s="195">
        <v>0</v>
      </c>
      <c r="M31" s="195">
        <v>21573.35</v>
      </c>
      <c r="N31" s="113"/>
      <c r="O31" s="113" t="s">
        <v>227</v>
      </c>
      <c r="P31" s="188" t="s">
        <v>228</v>
      </c>
      <c r="Q31" s="188"/>
      <c r="R31" s="188" t="s">
        <v>295</v>
      </c>
      <c r="S31" s="188" t="s">
        <v>559</v>
      </c>
      <c r="T31" s="188"/>
      <c r="U31" s="188"/>
      <c r="V31" s="215"/>
      <c r="W31" s="15"/>
    </row>
    <row r="32" spans="1:23" s="14" customFormat="1" ht="23.25" customHeight="1">
      <c r="A32" s="510"/>
      <c r="B32" s="216" t="s">
        <v>238</v>
      </c>
      <c r="C32" s="194" t="s">
        <v>239</v>
      </c>
      <c r="D32" s="194" t="s">
        <v>240</v>
      </c>
      <c r="E32" s="195"/>
      <c r="F32" s="195">
        <f t="shared" si="2"/>
        <v>3300</v>
      </c>
      <c r="G32" s="214">
        <f t="shared" si="3"/>
        <v>0.65</v>
      </c>
      <c r="H32" s="217">
        <v>1823.25</v>
      </c>
      <c r="I32" s="195">
        <v>0</v>
      </c>
      <c r="J32" s="217">
        <v>321.75</v>
      </c>
      <c r="K32" s="195">
        <v>0</v>
      </c>
      <c r="L32" s="195">
        <v>0</v>
      </c>
      <c r="M32" s="195">
        <v>1155</v>
      </c>
      <c r="N32" s="113"/>
      <c r="O32" s="113" t="s">
        <v>227</v>
      </c>
      <c r="P32" s="188" t="s">
        <v>228</v>
      </c>
      <c r="Q32" s="188"/>
      <c r="R32" s="188" t="s">
        <v>295</v>
      </c>
      <c r="S32" s="188" t="s">
        <v>560</v>
      </c>
      <c r="T32" s="188"/>
      <c r="U32" s="188"/>
      <c r="V32" s="215"/>
      <c r="W32" s="15"/>
    </row>
    <row r="33" spans="1:23" s="14" customFormat="1" ht="30">
      <c r="A33" s="510"/>
      <c r="B33" s="216" t="s">
        <v>241</v>
      </c>
      <c r="C33" s="194" t="s">
        <v>242</v>
      </c>
      <c r="D33" s="194" t="s">
        <v>243</v>
      </c>
      <c r="E33" s="195"/>
      <c r="F33" s="195">
        <f t="shared" si="2"/>
        <v>55256</v>
      </c>
      <c r="G33" s="214">
        <f t="shared" si="3"/>
        <v>0.6975242507600985</v>
      </c>
      <c r="H33" s="217">
        <v>32761.040000000001</v>
      </c>
      <c r="I33" s="195">
        <v>0</v>
      </c>
      <c r="J33" s="217">
        <v>5781.36</v>
      </c>
      <c r="K33" s="195">
        <v>0</v>
      </c>
      <c r="L33" s="195">
        <v>0</v>
      </c>
      <c r="M33" s="195">
        <v>16713.599999999999</v>
      </c>
      <c r="N33" s="113"/>
      <c r="O33" s="113" t="s">
        <v>227</v>
      </c>
      <c r="P33" s="188" t="s">
        <v>228</v>
      </c>
      <c r="Q33" s="188"/>
      <c r="R33" s="188" t="s">
        <v>295</v>
      </c>
      <c r="S33" s="188" t="s">
        <v>561</v>
      </c>
      <c r="T33" s="188"/>
      <c r="U33" s="188"/>
      <c r="V33" s="215"/>
      <c r="W33" s="15"/>
    </row>
    <row r="34" spans="1:23" s="14" customFormat="1" ht="30">
      <c r="A34" s="510"/>
      <c r="B34" s="216" t="s">
        <v>244</v>
      </c>
      <c r="C34" s="194" t="s">
        <v>245</v>
      </c>
      <c r="D34" s="194" t="s">
        <v>246</v>
      </c>
      <c r="E34" s="195"/>
      <c r="F34" s="195">
        <f t="shared" si="2"/>
        <v>8076.9500000000007</v>
      </c>
      <c r="G34" s="214">
        <f t="shared" si="3"/>
        <v>0.55379567782393102</v>
      </c>
      <c r="H34" s="217">
        <v>3802.03</v>
      </c>
      <c r="I34" s="195">
        <v>0</v>
      </c>
      <c r="J34" s="217">
        <v>670.95</v>
      </c>
      <c r="K34" s="195">
        <v>0</v>
      </c>
      <c r="L34" s="195">
        <v>0</v>
      </c>
      <c r="M34" s="195">
        <v>3603.97</v>
      </c>
      <c r="N34" s="113"/>
      <c r="O34" s="113" t="s">
        <v>227</v>
      </c>
      <c r="P34" s="188" t="s">
        <v>228</v>
      </c>
      <c r="Q34" s="188"/>
      <c r="R34" s="188" t="s">
        <v>295</v>
      </c>
      <c r="S34" s="188" t="s">
        <v>562</v>
      </c>
      <c r="T34" s="188"/>
      <c r="U34" s="188"/>
      <c r="V34" s="215"/>
      <c r="W34" s="15"/>
    </row>
    <row r="35" spans="1:23" s="14" customFormat="1" ht="30">
      <c r="A35" s="510"/>
      <c r="B35" s="216" t="s">
        <v>247</v>
      </c>
      <c r="C35" s="194" t="s">
        <v>248</v>
      </c>
      <c r="D35" s="194" t="s">
        <v>249</v>
      </c>
      <c r="E35" s="195"/>
      <c r="F35" s="195">
        <f t="shared" si="2"/>
        <v>73365.25</v>
      </c>
      <c r="G35" s="214">
        <f t="shared" si="3"/>
        <v>0.50000006815215647</v>
      </c>
      <c r="H35" s="217">
        <v>31180.23</v>
      </c>
      <c r="I35" s="195">
        <v>0</v>
      </c>
      <c r="J35" s="217">
        <v>5502.4</v>
      </c>
      <c r="K35" s="195">
        <v>0</v>
      </c>
      <c r="L35" s="195">
        <v>0</v>
      </c>
      <c r="M35" s="195">
        <v>36682.620000000003</v>
      </c>
      <c r="N35" s="113"/>
      <c r="O35" s="113" t="s">
        <v>227</v>
      </c>
      <c r="P35" s="188" t="s">
        <v>228</v>
      </c>
      <c r="Q35" s="188"/>
      <c r="R35" s="188" t="s">
        <v>295</v>
      </c>
      <c r="S35" s="188" t="s">
        <v>563</v>
      </c>
      <c r="T35" s="188"/>
      <c r="U35" s="188"/>
      <c r="V35" s="215"/>
      <c r="W35" s="15"/>
    </row>
    <row r="36" spans="1:23" s="14" customFormat="1" ht="30">
      <c r="A36" s="510"/>
      <c r="B36" s="216" t="s">
        <v>252</v>
      </c>
      <c r="C36" s="194" t="s">
        <v>253</v>
      </c>
      <c r="D36" s="194" t="s">
        <v>254</v>
      </c>
      <c r="E36" s="195"/>
      <c r="F36" s="195">
        <f t="shared" ref="F36:F42" si="4">SUM(H36:M36)</f>
        <v>29466</v>
      </c>
      <c r="G36" s="214">
        <f t="shared" si="3"/>
        <v>0.85</v>
      </c>
      <c r="H36" s="217">
        <v>21289.18</v>
      </c>
      <c r="I36" s="195">
        <v>0</v>
      </c>
      <c r="J36" s="217">
        <v>3756.92</v>
      </c>
      <c r="K36" s="195">
        <v>0</v>
      </c>
      <c r="L36" s="195">
        <v>0</v>
      </c>
      <c r="M36" s="195">
        <v>4419.8999999999996</v>
      </c>
      <c r="N36" s="39"/>
      <c r="O36" s="194" t="s">
        <v>250</v>
      </c>
      <c r="P36" s="194" t="s">
        <v>251</v>
      </c>
      <c r="Q36" s="194"/>
      <c r="R36" s="194" t="s">
        <v>297</v>
      </c>
      <c r="S36" s="188" t="s">
        <v>347</v>
      </c>
      <c r="T36" s="188"/>
      <c r="U36" s="188"/>
      <c r="V36" s="215"/>
      <c r="W36" s="15"/>
    </row>
    <row r="37" spans="1:23" s="14" customFormat="1" ht="30">
      <c r="A37" s="510"/>
      <c r="B37" s="216" t="s">
        <v>255</v>
      </c>
      <c r="C37" s="194" t="s">
        <v>256</v>
      </c>
      <c r="D37" s="194" t="s">
        <v>257</v>
      </c>
      <c r="E37" s="195"/>
      <c r="F37" s="195">
        <f t="shared" si="4"/>
        <v>66853.049999999988</v>
      </c>
      <c r="G37" s="214">
        <f t="shared" si="3"/>
        <v>0.50000007479090336</v>
      </c>
      <c r="H37" s="217">
        <v>28412.55</v>
      </c>
      <c r="I37" s="195">
        <v>0</v>
      </c>
      <c r="J37" s="217">
        <v>5013.9799999999996</v>
      </c>
      <c r="K37" s="195">
        <v>0</v>
      </c>
      <c r="L37" s="195">
        <v>0</v>
      </c>
      <c r="M37" s="195">
        <v>33426.519999999997</v>
      </c>
      <c r="N37" s="39"/>
      <c r="O37" s="194" t="s">
        <v>250</v>
      </c>
      <c r="P37" s="194" t="s">
        <v>251</v>
      </c>
      <c r="Q37" s="194"/>
      <c r="R37" s="194" t="s">
        <v>297</v>
      </c>
      <c r="S37" s="188" t="s">
        <v>501</v>
      </c>
      <c r="T37" s="188"/>
      <c r="U37" s="188"/>
      <c r="V37" s="215"/>
      <c r="W37" s="15"/>
    </row>
    <row r="38" spans="1:23" s="14" customFormat="1" ht="30">
      <c r="A38" s="510"/>
      <c r="B38" s="216" t="s">
        <v>258</v>
      </c>
      <c r="C38" s="194" t="s">
        <v>259</v>
      </c>
      <c r="D38" s="194" t="s">
        <v>260</v>
      </c>
      <c r="E38" s="195"/>
      <c r="F38" s="195">
        <f t="shared" si="4"/>
        <v>6600</v>
      </c>
      <c r="G38" s="214">
        <f t="shared" si="3"/>
        <v>0.65</v>
      </c>
      <c r="H38" s="217">
        <v>3646.5</v>
      </c>
      <c r="I38" s="195">
        <v>0</v>
      </c>
      <c r="J38" s="217">
        <v>643.5</v>
      </c>
      <c r="K38" s="195">
        <v>0</v>
      </c>
      <c r="L38" s="195">
        <v>0</v>
      </c>
      <c r="M38" s="195">
        <v>2310</v>
      </c>
      <c r="N38" s="39"/>
      <c r="O38" s="194" t="s">
        <v>250</v>
      </c>
      <c r="P38" s="194" t="s">
        <v>251</v>
      </c>
      <c r="Q38" s="194"/>
      <c r="R38" s="194" t="s">
        <v>297</v>
      </c>
      <c r="S38" s="188" t="s">
        <v>345</v>
      </c>
      <c r="T38" s="188"/>
      <c r="U38" s="188"/>
      <c r="V38" s="215"/>
      <c r="W38" s="15"/>
    </row>
    <row r="39" spans="1:23" s="14" customFormat="1" ht="45">
      <c r="A39" s="510"/>
      <c r="B39" s="216" t="s">
        <v>261</v>
      </c>
      <c r="C39" s="194" t="s">
        <v>262</v>
      </c>
      <c r="D39" s="194" t="s">
        <v>263</v>
      </c>
      <c r="E39" s="195"/>
      <c r="F39" s="195">
        <f t="shared" si="4"/>
        <v>22360.799999999999</v>
      </c>
      <c r="G39" s="214">
        <f t="shared" si="3"/>
        <v>0.75</v>
      </c>
      <c r="H39" s="217">
        <v>13851.27</v>
      </c>
      <c r="I39" s="195">
        <v>0</v>
      </c>
      <c r="J39" s="217">
        <v>2919.33</v>
      </c>
      <c r="K39" s="195">
        <v>0</v>
      </c>
      <c r="L39" s="195">
        <v>0</v>
      </c>
      <c r="M39" s="195">
        <v>5590.2</v>
      </c>
      <c r="N39" s="39"/>
      <c r="O39" s="194" t="s">
        <v>250</v>
      </c>
      <c r="P39" s="194" t="s">
        <v>251</v>
      </c>
      <c r="Q39" s="194"/>
      <c r="R39" s="194" t="s">
        <v>297</v>
      </c>
      <c r="S39" s="188" t="s">
        <v>500</v>
      </c>
      <c r="T39" s="188"/>
      <c r="U39" s="188"/>
      <c r="V39" s="215"/>
      <c r="W39" s="15"/>
    </row>
    <row r="40" spans="1:23" s="14" customFormat="1" ht="30">
      <c r="A40" s="510"/>
      <c r="B40" s="216" t="s">
        <v>264</v>
      </c>
      <c r="C40" s="194" t="s">
        <v>265</v>
      </c>
      <c r="D40" s="194" t="s">
        <v>266</v>
      </c>
      <c r="E40" s="195"/>
      <c r="F40" s="195">
        <f t="shared" si="4"/>
        <v>14686.350000000002</v>
      </c>
      <c r="G40" s="214">
        <f t="shared" si="3"/>
        <v>0.65000017022609424</v>
      </c>
      <c r="H40" s="217">
        <v>8114.21</v>
      </c>
      <c r="I40" s="195">
        <v>0</v>
      </c>
      <c r="J40" s="217">
        <v>1431.92</v>
      </c>
      <c r="K40" s="195">
        <v>0</v>
      </c>
      <c r="L40" s="195">
        <v>0</v>
      </c>
      <c r="M40" s="195">
        <v>5140.22</v>
      </c>
      <c r="N40" s="39"/>
      <c r="O40" s="194" t="s">
        <v>250</v>
      </c>
      <c r="P40" s="194" t="s">
        <v>251</v>
      </c>
      <c r="Q40" s="194"/>
      <c r="R40" s="194" t="s">
        <v>297</v>
      </c>
      <c r="S40" s="188" t="s">
        <v>621</v>
      </c>
      <c r="T40" s="188"/>
      <c r="U40" s="188"/>
      <c r="V40" s="215"/>
      <c r="W40" s="15"/>
    </row>
    <row r="41" spans="1:23" s="14" customFormat="1" ht="30">
      <c r="A41" s="510"/>
      <c r="B41" s="216" t="s">
        <v>267</v>
      </c>
      <c r="C41" s="194" t="s">
        <v>268</v>
      </c>
      <c r="D41" s="194" t="s">
        <v>269</v>
      </c>
      <c r="E41" s="195"/>
      <c r="F41" s="195">
        <f t="shared" si="4"/>
        <v>3630</v>
      </c>
      <c r="G41" s="214">
        <f t="shared" si="3"/>
        <v>0.65</v>
      </c>
      <c r="H41" s="217">
        <v>2005.57</v>
      </c>
      <c r="I41" s="195">
        <v>0</v>
      </c>
      <c r="J41" s="217">
        <v>353.93</v>
      </c>
      <c r="K41" s="195">
        <v>0</v>
      </c>
      <c r="L41" s="195">
        <v>0</v>
      </c>
      <c r="M41" s="195">
        <v>1270.5</v>
      </c>
      <c r="N41" s="39"/>
      <c r="O41" s="194" t="s">
        <v>250</v>
      </c>
      <c r="P41" s="194" t="s">
        <v>251</v>
      </c>
      <c r="Q41" s="194"/>
      <c r="R41" s="194" t="s">
        <v>297</v>
      </c>
      <c r="S41" s="188" t="s">
        <v>543</v>
      </c>
      <c r="T41" s="188"/>
      <c r="U41" s="188"/>
      <c r="V41" s="215"/>
      <c r="W41" s="15"/>
    </row>
    <row r="42" spans="1:23" s="14" customFormat="1" ht="30">
      <c r="A42" s="510"/>
      <c r="B42" s="216" t="s">
        <v>258</v>
      </c>
      <c r="C42" s="194" t="s">
        <v>270</v>
      </c>
      <c r="D42" s="194" t="s">
        <v>271</v>
      </c>
      <c r="E42" s="218"/>
      <c r="F42" s="195">
        <f t="shared" si="4"/>
        <v>115190</v>
      </c>
      <c r="G42" s="214">
        <f t="shared" si="3"/>
        <v>0.75599010330757876</v>
      </c>
      <c r="H42" s="217">
        <v>67440.67</v>
      </c>
      <c r="I42" s="195">
        <v>0</v>
      </c>
      <c r="J42" s="217">
        <v>19641.830000000002</v>
      </c>
      <c r="K42" s="195">
        <v>0</v>
      </c>
      <c r="L42" s="195">
        <v>0</v>
      </c>
      <c r="M42" s="195">
        <v>28107.5</v>
      </c>
      <c r="N42" s="39"/>
      <c r="O42" s="194" t="s">
        <v>250</v>
      </c>
      <c r="P42" s="194" t="s">
        <v>251</v>
      </c>
      <c r="Q42" s="194"/>
      <c r="R42" s="194" t="s">
        <v>297</v>
      </c>
      <c r="S42" s="188" t="s">
        <v>346</v>
      </c>
      <c r="T42" s="188"/>
      <c r="U42" s="188"/>
      <c r="V42" s="215"/>
      <c r="W42" s="15"/>
    </row>
    <row r="43" spans="1:23" s="14" customFormat="1" ht="45">
      <c r="A43" s="510"/>
      <c r="B43" s="216" t="s">
        <v>385</v>
      </c>
      <c r="C43" s="194" t="s">
        <v>386</v>
      </c>
      <c r="D43" s="194" t="s">
        <v>387</v>
      </c>
      <c r="E43" s="195">
        <v>155144.04999999999</v>
      </c>
      <c r="F43" s="195">
        <f t="shared" ref="F43" si="5">SUM(H43:M43)</f>
        <v>104380.1</v>
      </c>
      <c r="G43" s="214">
        <f t="shared" ref="G43" si="6">(H43+I43+J43+K43+L43)/F43</f>
        <v>0.75000004790185104</v>
      </c>
      <c r="H43" s="217">
        <v>66542.31</v>
      </c>
      <c r="I43" s="195">
        <v>11742.77</v>
      </c>
      <c r="J43" s="217">
        <v>0</v>
      </c>
      <c r="K43" s="195">
        <v>0</v>
      </c>
      <c r="L43" s="195">
        <v>0</v>
      </c>
      <c r="M43" s="195">
        <v>26095.02</v>
      </c>
      <c r="N43" s="39"/>
      <c r="O43" s="194" t="s">
        <v>384</v>
      </c>
      <c r="P43" s="194" t="s">
        <v>380</v>
      </c>
      <c r="Q43" s="194"/>
      <c r="R43" s="194" t="s">
        <v>401</v>
      </c>
      <c r="S43" s="188" t="s">
        <v>442</v>
      </c>
      <c r="T43" s="188"/>
      <c r="U43" s="188"/>
      <c r="V43" s="215"/>
      <c r="W43" s="15"/>
    </row>
    <row r="44" spans="1:23" s="14" customFormat="1" ht="39.75" customHeight="1">
      <c r="A44" s="262"/>
      <c r="B44" s="216" t="s">
        <v>642</v>
      </c>
      <c r="C44" s="194" t="s">
        <v>522</v>
      </c>
      <c r="D44" s="194" t="s">
        <v>523</v>
      </c>
      <c r="E44" s="227">
        <v>173700</v>
      </c>
      <c r="F44" s="195">
        <f t="shared" ref="F44:F46" si="7">SUM(H44:M44)</f>
        <v>126511.9</v>
      </c>
      <c r="G44" s="214">
        <f t="shared" ref="G44:G45" si="8">(H44+I44+J44+K44+L44)/F44</f>
        <v>0.7500000395219738</v>
      </c>
      <c r="H44" s="217">
        <v>80651.34</v>
      </c>
      <c r="I44" s="195">
        <v>0</v>
      </c>
      <c r="J44" s="217">
        <v>14232.59</v>
      </c>
      <c r="K44" s="195">
        <v>0</v>
      </c>
      <c r="L44" s="195">
        <v>0</v>
      </c>
      <c r="M44" s="195">
        <v>31627.97</v>
      </c>
      <c r="N44" s="39"/>
      <c r="O44" s="194" t="s">
        <v>524</v>
      </c>
      <c r="P44" s="228">
        <v>42920</v>
      </c>
      <c r="Q44" s="194"/>
      <c r="R44" s="228">
        <v>42937</v>
      </c>
      <c r="S44" s="188" t="s">
        <v>632</v>
      </c>
      <c r="T44" s="188"/>
      <c r="U44" s="188"/>
      <c r="V44" s="215"/>
      <c r="W44" s="15"/>
    </row>
    <row r="45" spans="1:23" s="14" customFormat="1" ht="39.75" customHeight="1">
      <c r="A45" s="262"/>
      <c r="B45" s="216" t="s">
        <v>529</v>
      </c>
      <c r="C45" s="194" t="s">
        <v>530</v>
      </c>
      <c r="D45" s="194" t="s">
        <v>200</v>
      </c>
      <c r="E45" s="227">
        <v>164415.65</v>
      </c>
      <c r="F45" s="195">
        <f t="shared" si="7"/>
        <v>137685.65000000002</v>
      </c>
      <c r="G45" s="214">
        <f t="shared" si="8"/>
        <v>0.5859959262276061</v>
      </c>
      <c r="H45" s="217">
        <v>68580.740000000005</v>
      </c>
      <c r="I45" s="195">
        <v>0</v>
      </c>
      <c r="J45" s="217">
        <v>12102.49</v>
      </c>
      <c r="K45" s="195">
        <v>0</v>
      </c>
      <c r="L45" s="195">
        <v>0</v>
      </c>
      <c r="M45" s="195">
        <v>57002.42</v>
      </c>
      <c r="N45" s="39"/>
      <c r="O45" s="194" t="s">
        <v>524</v>
      </c>
      <c r="P45" s="228">
        <v>42920</v>
      </c>
      <c r="Q45" s="194"/>
      <c r="R45" s="228">
        <v>42937</v>
      </c>
      <c r="S45" s="188" t="s">
        <v>633</v>
      </c>
      <c r="T45" s="188"/>
      <c r="U45" s="188"/>
      <c r="V45" s="215"/>
      <c r="W45" s="15"/>
    </row>
    <row r="46" spans="1:23" s="14" customFormat="1" ht="48" customHeight="1">
      <c r="A46" s="262"/>
      <c r="B46" s="216" t="s">
        <v>610</v>
      </c>
      <c r="C46" s="194" t="s">
        <v>611</v>
      </c>
      <c r="D46" s="194" t="s">
        <v>612</v>
      </c>
      <c r="E46" s="227">
        <v>200500</v>
      </c>
      <c r="F46" s="195">
        <f t="shared" si="7"/>
        <v>92500</v>
      </c>
      <c r="G46" s="214">
        <f t="shared" ref="G46:G47" si="9">(H46+I46+J46+K46+L46)/F46</f>
        <v>0.75</v>
      </c>
      <c r="H46" s="217">
        <v>52286.05</v>
      </c>
      <c r="I46" s="195">
        <v>9226.9500000000007</v>
      </c>
      <c r="J46" s="217">
        <v>7862</v>
      </c>
      <c r="K46" s="195">
        <v>0</v>
      </c>
      <c r="L46" s="195">
        <v>0</v>
      </c>
      <c r="M46" s="195">
        <v>23125</v>
      </c>
      <c r="N46" s="39"/>
      <c r="O46" s="194" t="s">
        <v>606</v>
      </c>
      <c r="P46" s="228">
        <v>42947</v>
      </c>
      <c r="Q46" s="194"/>
      <c r="R46" s="228">
        <v>42958</v>
      </c>
      <c r="S46" s="188" t="s">
        <v>625</v>
      </c>
      <c r="T46" s="188"/>
      <c r="U46" s="188"/>
      <c r="V46" s="215"/>
      <c r="W46" s="15"/>
    </row>
    <row r="47" spans="1:23" s="14" customFormat="1" ht="48" customHeight="1">
      <c r="A47" s="262"/>
      <c r="B47" s="216" t="s">
        <v>615</v>
      </c>
      <c r="C47" s="194" t="s">
        <v>616</v>
      </c>
      <c r="D47" s="194" t="s">
        <v>617</v>
      </c>
      <c r="E47" s="227">
        <v>156867.41</v>
      </c>
      <c r="F47" s="195">
        <v>139833.29</v>
      </c>
      <c r="G47" s="214">
        <f t="shared" si="9"/>
        <v>0.72151538449821206</v>
      </c>
      <c r="H47" s="217">
        <v>80962.05</v>
      </c>
      <c r="I47" s="195">
        <v>0</v>
      </c>
      <c r="J47" s="217">
        <v>19929.82</v>
      </c>
      <c r="K47" s="195">
        <v>0</v>
      </c>
      <c r="L47" s="195">
        <v>0</v>
      </c>
      <c r="M47" s="195">
        <v>38941.42</v>
      </c>
      <c r="N47" s="39"/>
      <c r="O47" s="194" t="s">
        <v>606</v>
      </c>
      <c r="P47" s="228">
        <v>42947</v>
      </c>
      <c r="Q47" s="194"/>
      <c r="R47" s="228">
        <v>42958</v>
      </c>
      <c r="S47" s="188" t="s">
        <v>627</v>
      </c>
      <c r="T47" s="188"/>
      <c r="U47" s="188"/>
      <c r="V47" s="215"/>
      <c r="W47" s="15"/>
    </row>
    <row r="48" spans="1:23" ht="18" customHeight="1">
      <c r="A48" s="250"/>
      <c r="B48" s="251"/>
      <c r="C48" s="252" t="s">
        <v>66</v>
      </c>
      <c r="D48" s="251"/>
      <c r="E48" s="251"/>
      <c r="F48" s="253" t="e">
        <f>SUM(#REF!)</f>
        <v>#REF!</v>
      </c>
      <c r="G48" s="254" t="e">
        <f>(H48+I48+J48+K48+L48)/F48</f>
        <v>#REF!</v>
      </c>
      <c r="H48" s="255" t="e">
        <f>SUM(#REF!)</f>
        <v>#REF!</v>
      </c>
      <c r="I48" s="255" t="e">
        <f>SUM(#REF!)</f>
        <v>#REF!</v>
      </c>
      <c r="J48" s="255" t="e">
        <f>SUM(#REF!)</f>
        <v>#REF!</v>
      </c>
      <c r="K48" s="255" t="e">
        <f>SUM(#REF!)</f>
        <v>#REF!</v>
      </c>
      <c r="L48" s="255" t="e">
        <f>SUM(#REF!)</f>
        <v>#REF!</v>
      </c>
      <c r="M48" s="255" t="e">
        <f>SUM(#REF!)</f>
        <v>#REF!</v>
      </c>
      <c r="O48" s="47">
        <f>COUNTA(#REF!)</f>
        <v>1</v>
      </c>
    </row>
    <row r="49" spans="1:22" ht="19.5" customHeight="1">
      <c r="A49" s="12"/>
      <c r="B49" s="13"/>
      <c r="C49" s="3"/>
      <c r="D49" s="3"/>
      <c r="E49" s="40"/>
      <c r="F49" s="4"/>
    </row>
    <row r="50" spans="1:22" s="32" customFormat="1" ht="38.25" customHeight="1">
      <c r="A50" s="250" t="s">
        <v>54</v>
      </c>
      <c r="B50" s="250"/>
      <c r="C50" s="250"/>
      <c r="D50" s="250"/>
      <c r="E50" s="250"/>
      <c r="F50" s="256" t="e">
        <f>#REF!+F48+#REF!</f>
        <v>#REF!</v>
      </c>
      <c r="G50" s="257" t="e">
        <f>(H50+J50)/F50</f>
        <v>#REF!</v>
      </c>
      <c r="H50" s="258" t="e">
        <f>#REF!+H48+#REF!</f>
        <v>#REF!</v>
      </c>
      <c r="I50" s="258" t="e">
        <f>#REF!+I48+#REF!</f>
        <v>#REF!</v>
      </c>
      <c r="J50" s="258" t="e">
        <f>#REF!+J48+#REF!</f>
        <v>#REF!</v>
      </c>
      <c r="K50" s="258" t="e">
        <f>#REF!+K48+#REF!</f>
        <v>#REF!</v>
      </c>
      <c r="L50" s="258" t="e">
        <f>#REF!+L48+#REF!</f>
        <v>#REF!</v>
      </c>
      <c r="M50" s="258" t="e">
        <f>#REF!+M48+#REF!</f>
        <v>#REF!</v>
      </c>
      <c r="N50" s="30"/>
      <c r="O50" s="259" t="e">
        <f>#REF!+#REF!+O48</f>
        <v>#REF!</v>
      </c>
      <c r="P50" s="7"/>
      <c r="Q50" s="31"/>
      <c r="R50" s="31"/>
      <c r="S50" s="31"/>
      <c r="T50" s="31"/>
      <c r="U50" s="31"/>
      <c r="V50" s="31"/>
    </row>
    <row r="51" spans="1:22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31"/>
      <c r="Q51" s="5"/>
      <c r="R51" s="5"/>
      <c r="S51" s="5"/>
      <c r="T51" s="5"/>
      <c r="U51" s="5"/>
    </row>
    <row r="52" spans="1:22">
      <c r="F52" s="4"/>
      <c r="I52" s="4"/>
      <c r="J52" s="51"/>
      <c r="P52" s="5"/>
    </row>
    <row r="53" spans="1:22">
      <c r="J53" s="52"/>
      <c r="K53" s="4"/>
    </row>
    <row r="60" spans="1:22">
      <c r="Q60" s="40"/>
    </row>
    <row r="61" spans="1:22">
      <c r="Q61" s="40"/>
    </row>
    <row r="62" spans="1:22">
      <c r="Q62" s="41"/>
    </row>
    <row r="63" spans="1:22">
      <c r="Q63" s="42"/>
    </row>
    <row r="64" spans="1:22">
      <c r="Q64" s="42"/>
    </row>
    <row r="65" spans="16:17">
      <c r="Q65" s="42"/>
    </row>
    <row r="66" spans="16:17">
      <c r="Q66" s="41"/>
    </row>
    <row r="67" spans="16:17">
      <c r="Q67" s="42"/>
    </row>
    <row r="68" spans="16:17">
      <c r="Q68" s="42"/>
    </row>
    <row r="69" spans="16:17">
      <c r="Q69" s="41"/>
    </row>
    <row r="70" spans="16:17">
      <c r="Q70" s="41"/>
    </row>
    <row r="71" spans="16:17">
      <c r="Q71" s="41"/>
    </row>
    <row r="72" spans="16:17">
      <c r="Q72" s="41"/>
    </row>
    <row r="73" spans="16:17">
      <c r="Q73" s="41"/>
    </row>
    <row r="74" spans="16:17">
      <c r="Q74" s="41"/>
    </row>
    <row r="75" spans="16:17">
      <c r="Q75" s="41"/>
    </row>
    <row r="76" spans="16:17">
      <c r="Q76" s="41"/>
    </row>
    <row r="77" spans="16:17">
      <c r="Q77" s="41"/>
    </row>
    <row r="78" spans="16:17">
      <c r="Q78" s="41"/>
    </row>
    <row r="79" spans="16:17">
      <c r="Q79" s="41"/>
    </row>
    <row r="80" spans="16:17">
      <c r="P80" s="40"/>
      <c r="Q80" s="41"/>
    </row>
    <row r="81" spans="16:17">
      <c r="P81" s="40"/>
      <c r="Q81" s="41"/>
    </row>
    <row r="82" spans="16:17">
      <c r="P82" s="40"/>
      <c r="Q82" s="41"/>
    </row>
    <row r="83" spans="16:17">
      <c r="P83" s="40"/>
      <c r="Q83" s="40"/>
    </row>
    <row r="84" spans="16:17">
      <c r="P84" s="40"/>
    </row>
  </sheetData>
  <autoFilter ref="A10:V48"/>
  <mergeCells count="4">
    <mergeCell ref="A6:D6"/>
    <mergeCell ref="A8:D8"/>
    <mergeCell ref="A11:A28"/>
    <mergeCell ref="A29:A43"/>
  </mergeCells>
  <pageMargins left="0.7" right="0.7" top="0.75" bottom="0.75" header="0.3" footer="0.3"/>
  <pageSetup paperSize="8" scale="4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54"/>
  <sheetViews>
    <sheetView zoomScale="70" zoomScaleNormal="70" workbookViewId="0">
      <pane xSplit="1" ySplit="12" topLeftCell="B13" activePane="bottomRight" state="frozen"/>
      <selection pane="topRight" activeCell="B1" sqref="B1"/>
      <selection pane="bottomLeft" activeCell="A11" sqref="A11"/>
      <selection pane="bottomRight" activeCell="M25" sqref="M25"/>
    </sheetView>
  </sheetViews>
  <sheetFormatPr baseColWidth="10" defaultColWidth="11.42578125" defaultRowHeight="15"/>
  <cols>
    <col min="1" max="1" width="29.85546875" style="7" customWidth="1"/>
    <col min="2" max="3" width="25.42578125" style="7" customWidth="1"/>
    <col min="4" max="4" width="19.7109375" style="7" customWidth="1"/>
    <col min="5" max="5" width="15.85546875" style="7" customWidth="1"/>
    <col min="6" max="6" width="14.7109375" style="7" customWidth="1"/>
    <col min="7" max="7" width="12.42578125" style="7" customWidth="1"/>
    <col min="8" max="8" width="15.85546875" style="7" customWidth="1"/>
    <col min="9" max="9" width="13.7109375" style="7" customWidth="1"/>
    <col min="10" max="10" width="13.85546875" style="7" customWidth="1"/>
    <col min="11" max="11" width="15.85546875" style="7" hidden="1" customWidth="1"/>
    <col min="12" max="12" width="17.85546875" style="7" hidden="1" customWidth="1"/>
    <col min="13" max="13" width="15.28515625" style="7" customWidth="1"/>
    <col min="14" max="14" width="3.28515625" style="7" hidden="1" customWidth="1"/>
    <col min="15" max="15" width="12.7109375" style="7" customWidth="1"/>
    <col min="16" max="16" width="12.28515625" style="7" customWidth="1"/>
    <col min="17" max="21" width="18.28515625" style="7" customWidth="1"/>
    <col min="22" max="22" width="15.85546875" style="7" customWidth="1"/>
    <col min="23" max="16384" width="11.42578125" style="7"/>
  </cols>
  <sheetData>
    <row r="3" spans="1:23">
      <c r="O3" s="4"/>
    </row>
    <row r="6" spans="1:23" ht="30.75" customHeight="1">
      <c r="A6" s="512" t="s">
        <v>52</v>
      </c>
      <c r="B6" s="513"/>
      <c r="C6" s="513"/>
      <c r="D6" s="514"/>
      <c r="E6" s="260"/>
      <c r="F6" s="62"/>
      <c r="G6" s="63" t="s">
        <v>53</v>
      </c>
      <c r="H6" s="64" t="e">
        <f>#REF!</f>
        <v>#REF!</v>
      </c>
      <c r="I6" s="34"/>
      <c r="J6" s="34"/>
      <c r="K6" s="34"/>
      <c r="L6" s="5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3" ht="10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3" ht="21" customHeight="1">
      <c r="A8" s="482" t="s">
        <v>45</v>
      </c>
      <c r="B8" s="482"/>
      <c r="C8" s="482"/>
      <c r="D8" s="482"/>
      <c r="E8" s="26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3" ht="21" customHeight="1">
      <c r="A9" s="263"/>
      <c r="B9" s="263"/>
      <c r="C9" s="263"/>
      <c r="D9" s="263"/>
      <c r="E9" s="26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3" ht="21" customHeight="1">
      <c r="A10" s="263"/>
      <c r="B10" s="263"/>
      <c r="C10" s="263"/>
      <c r="D10" s="263"/>
      <c r="E10" s="263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3" ht="12" customHeight="1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3" s="1" customFormat="1" ht="43.5" customHeight="1">
      <c r="A12" s="284" t="s">
        <v>0</v>
      </c>
      <c r="B12" s="274" t="s">
        <v>131</v>
      </c>
      <c r="C12" s="274" t="s">
        <v>1</v>
      </c>
      <c r="D12" s="274" t="s">
        <v>2</v>
      </c>
      <c r="E12" s="274" t="s">
        <v>579</v>
      </c>
      <c r="F12" s="274" t="s">
        <v>601</v>
      </c>
      <c r="G12" s="274" t="s">
        <v>648</v>
      </c>
      <c r="H12" s="274" t="s">
        <v>46</v>
      </c>
      <c r="I12" s="274" t="s">
        <v>302</v>
      </c>
      <c r="J12" s="274" t="s">
        <v>4</v>
      </c>
      <c r="K12" s="274" t="s">
        <v>6</v>
      </c>
      <c r="L12" s="274" t="s">
        <v>5</v>
      </c>
      <c r="M12" s="274" t="s">
        <v>3</v>
      </c>
      <c r="N12" s="274" t="s">
        <v>185</v>
      </c>
      <c r="O12" s="274" t="s">
        <v>645</v>
      </c>
      <c r="P12" s="65" t="s">
        <v>113</v>
      </c>
      <c r="Q12" s="65" t="s">
        <v>114</v>
      </c>
      <c r="R12" s="65" t="s">
        <v>7</v>
      </c>
      <c r="S12" s="2" t="s">
        <v>157</v>
      </c>
      <c r="T12" s="2" t="s">
        <v>8</v>
      </c>
      <c r="U12" s="65" t="s">
        <v>117</v>
      </c>
      <c r="V12" s="65" t="s">
        <v>116</v>
      </c>
    </row>
    <row r="13" spans="1:23" s="1" customFormat="1" ht="43.5" customHeight="1">
      <c r="A13" s="282"/>
      <c r="B13" s="516" t="s">
        <v>11</v>
      </c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7"/>
      <c r="O13" s="517"/>
      <c r="P13" s="283"/>
      <c r="Q13" s="275"/>
      <c r="R13" s="275"/>
      <c r="S13" s="276"/>
      <c r="T13" s="276"/>
      <c r="U13" s="275"/>
      <c r="V13" s="275"/>
    </row>
    <row r="14" spans="1:23" s="14" customFormat="1" ht="72" customHeight="1">
      <c r="A14" s="510" t="s">
        <v>11</v>
      </c>
      <c r="B14" s="277" t="s">
        <v>646</v>
      </c>
      <c r="C14" s="278" t="s">
        <v>386</v>
      </c>
      <c r="D14" s="278" t="s">
        <v>387</v>
      </c>
      <c r="E14" s="279">
        <v>155144.04999999999</v>
      </c>
      <c r="F14" s="279">
        <f t="shared" ref="F14:F17" si="0">SUM(H14:M14)</f>
        <v>104380.1</v>
      </c>
      <c r="G14" s="280">
        <f t="shared" ref="G14:G18" si="1">(H14+I14+J14+K14+L14)/F14</f>
        <v>0.75000004790185104</v>
      </c>
      <c r="H14" s="281">
        <v>66542.31</v>
      </c>
      <c r="I14" s="279">
        <v>11742.77</v>
      </c>
      <c r="J14" s="281">
        <v>0</v>
      </c>
      <c r="K14" s="279">
        <v>0</v>
      </c>
      <c r="L14" s="279">
        <v>0</v>
      </c>
      <c r="M14" s="279">
        <v>26095.02</v>
      </c>
      <c r="N14" s="39"/>
      <c r="O14" s="278" t="s">
        <v>384</v>
      </c>
      <c r="P14" s="194" t="s">
        <v>380</v>
      </c>
      <c r="Q14" s="194"/>
      <c r="R14" s="194" t="s">
        <v>401</v>
      </c>
      <c r="S14" s="188" t="s">
        <v>442</v>
      </c>
      <c r="T14" s="188"/>
      <c r="U14" s="188"/>
      <c r="V14" s="215"/>
      <c r="W14" s="15"/>
    </row>
    <row r="15" spans="1:23" s="14" customFormat="1" ht="59.25" customHeight="1">
      <c r="A15" s="510"/>
      <c r="B15" s="285" t="s">
        <v>642</v>
      </c>
      <c r="C15" s="286" t="s">
        <v>522</v>
      </c>
      <c r="D15" s="286" t="s">
        <v>523</v>
      </c>
      <c r="E15" s="287">
        <v>173700</v>
      </c>
      <c r="F15" s="287">
        <f t="shared" si="0"/>
        <v>126511.9</v>
      </c>
      <c r="G15" s="288">
        <f t="shared" si="1"/>
        <v>0.7500000395219738</v>
      </c>
      <c r="H15" s="289">
        <v>80651.34</v>
      </c>
      <c r="I15" s="287">
        <v>0</v>
      </c>
      <c r="J15" s="289">
        <v>14232.59</v>
      </c>
      <c r="K15" s="287">
        <v>0</v>
      </c>
      <c r="L15" s="287">
        <v>0</v>
      </c>
      <c r="M15" s="287">
        <v>31627.97</v>
      </c>
      <c r="N15" s="39"/>
      <c r="O15" s="286" t="s">
        <v>503</v>
      </c>
      <c r="P15" s="228" t="s">
        <v>643</v>
      </c>
      <c r="Q15" s="194"/>
      <c r="R15" s="228">
        <v>42937</v>
      </c>
      <c r="S15" s="188" t="s">
        <v>632</v>
      </c>
      <c r="T15" s="188"/>
      <c r="U15" s="188"/>
      <c r="V15" s="215"/>
      <c r="W15" s="15"/>
    </row>
    <row r="16" spans="1:23" s="14" customFormat="1" ht="60" customHeight="1">
      <c r="A16" s="510"/>
      <c r="B16" s="285" t="s">
        <v>529</v>
      </c>
      <c r="C16" s="286" t="s">
        <v>530</v>
      </c>
      <c r="D16" s="286" t="s">
        <v>200</v>
      </c>
      <c r="E16" s="287">
        <v>164415.65</v>
      </c>
      <c r="F16" s="287">
        <f t="shared" si="0"/>
        <v>137685.65000000002</v>
      </c>
      <c r="G16" s="288">
        <f t="shared" si="1"/>
        <v>0.5859959262276061</v>
      </c>
      <c r="H16" s="289">
        <v>68580.740000000005</v>
      </c>
      <c r="I16" s="287">
        <v>0</v>
      </c>
      <c r="J16" s="289">
        <v>12102.49</v>
      </c>
      <c r="K16" s="287">
        <v>0</v>
      </c>
      <c r="L16" s="287">
        <v>0</v>
      </c>
      <c r="M16" s="287">
        <v>57002.42</v>
      </c>
      <c r="N16" s="39"/>
      <c r="O16" s="286" t="s">
        <v>503</v>
      </c>
      <c r="P16" s="228" t="s">
        <v>643</v>
      </c>
      <c r="Q16" s="194"/>
      <c r="R16" s="228">
        <v>42937</v>
      </c>
      <c r="S16" s="188" t="s">
        <v>633</v>
      </c>
      <c r="T16" s="188"/>
      <c r="U16" s="188"/>
      <c r="V16" s="215"/>
      <c r="W16" s="15"/>
    </row>
    <row r="17" spans="1:23" s="14" customFormat="1" ht="59.25" customHeight="1">
      <c r="A17" s="510"/>
      <c r="B17" s="285" t="s">
        <v>610</v>
      </c>
      <c r="C17" s="286" t="s">
        <v>611</v>
      </c>
      <c r="D17" s="286" t="s">
        <v>612</v>
      </c>
      <c r="E17" s="287">
        <v>200500</v>
      </c>
      <c r="F17" s="287">
        <f t="shared" si="0"/>
        <v>92500</v>
      </c>
      <c r="G17" s="288">
        <f t="shared" si="1"/>
        <v>0.75</v>
      </c>
      <c r="H17" s="289">
        <v>52286.05</v>
      </c>
      <c r="I17" s="287">
        <v>9226.9500000000007</v>
      </c>
      <c r="J17" s="289">
        <v>7862</v>
      </c>
      <c r="K17" s="287">
        <v>0</v>
      </c>
      <c r="L17" s="287">
        <v>0</v>
      </c>
      <c r="M17" s="287">
        <v>23125</v>
      </c>
      <c r="N17" s="39"/>
      <c r="O17" s="286" t="s">
        <v>649</v>
      </c>
      <c r="P17" s="228" t="s">
        <v>644</v>
      </c>
      <c r="Q17" s="194"/>
      <c r="R17" s="228">
        <v>42958</v>
      </c>
      <c r="S17" s="188" t="s">
        <v>625</v>
      </c>
      <c r="T17" s="188"/>
      <c r="U17" s="188"/>
      <c r="V17" s="215"/>
      <c r="W17" s="15"/>
    </row>
    <row r="18" spans="1:23" s="14" customFormat="1" ht="72" customHeight="1">
      <c r="A18" s="515"/>
      <c r="B18" s="291" t="s">
        <v>615</v>
      </c>
      <c r="C18" s="198" t="s">
        <v>616</v>
      </c>
      <c r="D18" s="286" t="s">
        <v>617</v>
      </c>
      <c r="E18" s="287">
        <v>156867.41</v>
      </c>
      <c r="F18" s="287">
        <v>139833.29</v>
      </c>
      <c r="G18" s="288">
        <f t="shared" si="1"/>
        <v>0.72151538449821206</v>
      </c>
      <c r="H18" s="289">
        <v>80962.05</v>
      </c>
      <c r="I18" s="287">
        <v>0</v>
      </c>
      <c r="J18" s="289">
        <v>19929.82</v>
      </c>
      <c r="K18" s="287">
        <v>0</v>
      </c>
      <c r="L18" s="287">
        <v>0</v>
      </c>
      <c r="M18" s="287">
        <v>38941.42</v>
      </c>
      <c r="N18" s="290"/>
      <c r="O18" s="286" t="s">
        <v>649</v>
      </c>
      <c r="P18" s="228" t="s">
        <v>644</v>
      </c>
      <c r="Q18" s="194"/>
      <c r="R18" s="228">
        <v>42958</v>
      </c>
      <c r="S18" s="188" t="s">
        <v>627</v>
      </c>
      <c r="T18" s="188"/>
      <c r="U18" s="188"/>
      <c r="V18" s="215"/>
      <c r="W18" s="15"/>
    </row>
    <row r="19" spans="1:23" ht="18" customHeight="1">
      <c r="A19" s="269"/>
      <c r="B19" s="292"/>
      <c r="C19" s="293"/>
      <c r="D19" s="294" t="s">
        <v>647</v>
      </c>
      <c r="E19" s="270">
        <f>SUM(E14:E18)</f>
        <v>850627.11</v>
      </c>
      <c r="F19" s="271">
        <f>SUM(F14:F18)</f>
        <v>600910.94000000006</v>
      </c>
      <c r="G19" s="272">
        <f>(H19+I19+J19)/F19</f>
        <v>0.70579362392703304</v>
      </c>
      <c r="H19" s="273">
        <f>SUM(H14:H18)</f>
        <v>349022.49</v>
      </c>
      <c r="I19" s="273">
        <f t="shared" ref="I19:N19" si="2">SUM(I14:I18)</f>
        <v>20969.72</v>
      </c>
      <c r="J19" s="273">
        <f t="shared" si="2"/>
        <v>54126.9</v>
      </c>
      <c r="K19" s="273">
        <f t="shared" si="2"/>
        <v>0</v>
      </c>
      <c r="L19" s="273">
        <f t="shared" si="2"/>
        <v>0</v>
      </c>
      <c r="M19" s="273">
        <f t="shared" si="2"/>
        <v>176791.83000000002</v>
      </c>
      <c r="N19" s="267">
        <f t="shared" si="2"/>
        <v>0</v>
      </c>
      <c r="O19" s="268"/>
    </row>
    <row r="20" spans="1:23" ht="19.5" customHeight="1">
      <c r="A20" s="264"/>
      <c r="B20" s="265"/>
      <c r="C20" s="40"/>
      <c r="D20" s="40"/>
      <c r="E20" s="40"/>
      <c r="F20" s="4"/>
    </row>
    <row r="21" spans="1:23" ht="21">
      <c r="A21" s="266"/>
      <c r="B21" s="266"/>
      <c r="C21" s="266"/>
      <c r="D21" s="26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31"/>
      <c r="Q21" s="5"/>
      <c r="R21" s="5"/>
      <c r="S21" s="5"/>
      <c r="T21" s="5"/>
      <c r="U21" s="5"/>
    </row>
    <row r="22" spans="1:23">
      <c r="F22" s="4"/>
      <c r="I22" s="4"/>
      <c r="J22" s="51"/>
      <c r="P22" s="5"/>
    </row>
    <row r="23" spans="1:23">
      <c r="J23" s="52"/>
      <c r="K23" s="4"/>
    </row>
    <row r="30" spans="1:23">
      <c r="Q30" s="40"/>
    </row>
    <row r="31" spans="1:23">
      <c r="Q31" s="40"/>
    </row>
    <row r="32" spans="1:23">
      <c r="Q32" s="41"/>
    </row>
    <row r="33" spans="17:17">
      <c r="Q33" s="42"/>
    </row>
    <row r="34" spans="17:17">
      <c r="Q34" s="42"/>
    </row>
    <row r="35" spans="17:17">
      <c r="Q35" s="42"/>
    </row>
    <row r="36" spans="17:17">
      <c r="Q36" s="41"/>
    </row>
    <row r="37" spans="17:17">
      <c r="Q37" s="42"/>
    </row>
    <row r="38" spans="17:17">
      <c r="Q38" s="42"/>
    </row>
    <row r="39" spans="17:17">
      <c r="Q39" s="41"/>
    </row>
    <row r="40" spans="17:17">
      <c r="Q40" s="41"/>
    </row>
    <row r="41" spans="17:17">
      <c r="Q41" s="41"/>
    </row>
    <row r="42" spans="17:17">
      <c r="Q42" s="41"/>
    </row>
    <row r="43" spans="17:17">
      <c r="Q43" s="41"/>
    </row>
    <row r="44" spans="17:17">
      <c r="Q44" s="41"/>
    </row>
    <row r="45" spans="17:17">
      <c r="Q45" s="41"/>
    </row>
    <row r="46" spans="17:17">
      <c r="Q46" s="41"/>
    </row>
    <row r="47" spans="17:17">
      <c r="Q47" s="41"/>
    </row>
    <row r="48" spans="17:17">
      <c r="Q48" s="41"/>
    </row>
    <row r="49" spans="16:17">
      <c r="Q49" s="41"/>
    </row>
    <row r="50" spans="16:17">
      <c r="P50" s="40"/>
      <c r="Q50" s="41"/>
    </row>
    <row r="51" spans="16:17">
      <c r="P51" s="40"/>
      <c r="Q51" s="41"/>
    </row>
    <row r="52" spans="16:17">
      <c r="P52" s="40"/>
      <c r="Q52" s="41"/>
    </row>
    <row r="53" spans="16:17">
      <c r="P53" s="40"/>
      <c r="Q53" s="40"/>
    </row>
    <row r="54" spans="16:17">
      <c r="P54" s="40"/>
    </row>
  </sheetData>
  <mergeCells count="4">
    <mergeCell ref="A6:D6"/>
    <mergeCell ref="A8:D8"/>
    <mergeCell ref="A14:A18"/>
    <mergeCell ref="B13:O13"/>
  </mergeCells>
  <pageMargins left="0.7" right="0.7" top="0.75" bottom="0.75" header="0.3" footer="0.3"/>
  <pageSetup paperSize="8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FEAMP</vt:lpstr>
      <vt:lpstr>FEAMP 25072019</vt:lpstr>
      <vt:lpstr>Feuil1</vt:lpstr>
      <vt:lpstr>FEADER  (4)</vt:lpstr>
      <vt:lpstr>FEADER  (2)</vt:lpstr>
      <vt:lpstr>FEADER 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</dc:creator>
  <cp:lastModifiedBy>GERARD Ketty</cp:lastModifiedBy>
  <cp:lastPrinted>2019-01-09T15:38:27Z</cp:lastPrinted>
  <dcterms:created xsi:type="dcterms:W3CDTF">2018-12-24T21:06:37Z</dcterms:created>
  <dcterms:modified xsi:type="dcterms:W3CDTF">2019-09-26T20:34:24Z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